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8d7081ee5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ve Summary" sheetId="1" r:id="R5cdd590212534941"/>
    <x:sheet xmlns:r="http://schemas.openxmlformats.org/officeDocument/2006/relationships" name="Beta Plan" sheetId="2" r:id="Rdbf76da2ac2d467a"/>
    <x:sheet xmlns:r="http://schemas.openxmlformats.org/officeDocument/2006/relationships" name="Assumptions" sheetId="3" r:id="Rf2032615004d45d3"/>
    <x:sheet xmlns:r="http://schemas.openxmlformats.org/officeDocument/2006/relationships" name="Cohort Bridge" sheetId="4" r:id="Re5f1cb76283546d9"/>
    <x:sheet xmlns:r="http://schemas.openxmlformats.org/officeDocument/2006/relationships" name="Core Monthly" sheetId="5" r:id="R325712292b8342fb"/>
    <x:sheet xmlns:r="http://schemas.openxmlformats.org/officeDocument/2006/relationships" name="Engage Monthly" sheetId="6" r:id="R3faca3d41f214cd8"/>
    <x:sheet xmlns:r="http://schemas.openxmlformats.org/officeDocument/2006/relationships" name="Scenarios" sheetId="7" r:id="R495a339825ac490d"/>
    <x:sheet xmlns:r="http://schemas.openxmlformats.org/officeDocument/2006/relationships" name="Checks" sheetId="8" r:id="R1de9b3f933724736"/>
    <x:sheet xmlns:r="http://schemas.openxmlformats.org/officeDocument/2006/relationships" name="Sources" sheetId="9" r:id="Rceedbf1003e8424f"/>
    <x:sheet xmlns:r="http://schemas.openxmlformats.org/officeDocument/2006/relationships" name="GTM Plan" sheetId="10" r:id="R4cf2c1c4e6244c85"/>
  </x:sheets>
</x:workbook>
</file>

<file path=xl/comments1.xml><?xml version="1.0" encoding="utf-8"?>
<x:comments xmlns:x="http://schemas.openxmlformats.org/spreadsheetml/2006/main">
  <x:authors>
    <x:author>tc={AC54A23C-8CF2-4653-A44A-0F3B5EDB2655}</x:author>
    <x:author>tc={2021EDAA-A3B0-458B-B835-B2AF9672ED60}</x:author>
    <x:author>tc={F011C684-8497-4977-9E1C-EEDCE835895E}</x:author>
    <x:author>tc={9F9B1657-119C-4F26-A188-EE257AED6453}</x:author>
    <x:author>tc={4B1DA719-55CD-47B8-BDC7-4B87099895CC}</x:author>
    <x:author>tc={E7F3DB89-8AA1-420D-B539-1192BCA76E14}</x:author>
  </x:authors>
  <x:commentList>
    <x:comment ref="B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Management timeline supplied 2026-08-28. Monthly model begins Nov 2026 to represent a mid-Oct access release.</x:t>
        </x:r>
      </x:text>
    </x:comment>
    <x:comment ref="B8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Management target: 12 individuals during the first four Beta months.</x:t>
        </x:r>
      </x:text>
    </x:comment>
    <x:comment ref="B9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Management target: add 18 individuals in the final two Beta months, reaching 30.</x:t>
        </x:r>
      </x:text>
    </x:comment>
    <x:comment ref="B10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Management-supplied annual Pro price: $190.</x:t>
        </x:r>
      </x:text>
    </x:comment>
    <x:comment ref="B14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Planning assumption pending signed team contracts: $240 per paid seat per year; minimum three seats.</x:t>
        </x:r>
      </x:text>
    </x:comment>
    <x:comment ref="B2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https://chartmogul.com/reports/saas-billing-report/ | low-ARPA annual retention benchmark.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mmm yyyy"/>
    <x:numFmt numFmtId="201" formatCode="0.0%;[Red](0.0%);-"/>
    <x:numFmt numFmtId="202" formatCode="$#,##0;[Red]($#,##0);-"/>
    <x:numFmt numFmtId="203" formatCode="mmm-yy"/>
    <x:numFmt numFmtId="204" formatCode="#,##0.0;[Red](#,##0.0);-"/>
    <x:numFmt numFmtId="205" formatCode="$#,##0.0;[Red]($#,##0.0);-"/>
    <x:numFmt numFmtId="206" formatCode="yyyy-mm-dd"/>
    <x:numFmt numFmtId="207" formatCode="0"/>
    <x:numFmt numFmtId="208" formatCode="#,##0;[Red](#,##0);-"/>
  </x:numFmts>
  <x:fonts count="26">
    <x:font>
      <x:sz val="11"/>
      <x:name val="Carlito"/>
    </x:font>
    <x:font>
      <x:b/>
      <x:sz val="18"/>
      <x:color rgb="FFFFFFFF"/>
      <x:name val="Carlito"/>
    </x:font>
    <x:font>
      <x:i/>
      <x:sz val="10"/>
      <x:color rgb="FFC7D0D9"/>
      <x:name val="Carlito"/>
    </x:font>
    <x:font>
      <x:b/>
      <x:sz val="11"/>
      <x:color rgb="FF9DECF3"/>
      <x:name val="Carlito"/>
    </x:font>
    <x:font>
      <x:sz val="11"/>
      <x:color rgb="FF0000FF"/>
      <x:name val="Carlito"/>
    </x:font>
    <x:font>
      <x:b/>
      <x:sz val="11"/>
      <x:color rgb="FF7A3E00"/>
      <x:name val="Carlito"/>
    </x:font>
    <x:font>
      <x:sz val="11"/>
      <x:color rgb="FF111827"/>
      <x:name val="Carlito"/>
    </x:font>
    <x:font>
      <x:b/>
      <x:sz val="18"/>
      <x:color rgb="FFFFFFFF"/>
      <x:name val="Arial"/>
    </x:font>
    <x:font>
      <x:i/>
      <x:sz val="10"/>
      <x:color rgb="FFC7D0D9"/>
      <x:name val="Arial"/>
    </x:font>
    <x:font>
      <x:sz val="11"/>
      <x:name val="Arial"/>
    </x:font>
    <x:font>
      <x:b/>
      <x:sz val="11"/>
      <x:color rgb="FF9DECF3"/>
      <x:name val="Arial"/>
    </x:font>
    <x:font>
      <x:b/>
      <x:sz val="11"/>
      <x:color rgb="FF7A3E00"/>
      <x:name val="Arial"/>
    </x:font>
    <x:font>
      <x:sz val="11"/>
      <x:color rgb="FF0000FF"/>
      <x:name val="Arial"/>
    </x:font>
    <x:font>
      <x:sz val="11"/>
      <x:color rgb="FF111827"/>
      <x:name val="Arial"/>
    </x:font>
    <x:font>
      <x:i/>
      <x:sz val="11"/>
      <x:color rgb="FFC2410C"/>
      <x:name val="Carlito"/>
    </x:font>
    <x:font>
      <x:b/>
      <x:sz val="11"/>
      <x:color rgb="FF111827"/>
      <x:name val="Carlito"/>
    </x:font>
    <x:font>
      <x:b/>
      <x:sz val="11"/>
      <x:color rgb="FF111827"/>
      <x:name val="Arial"/>
    </x:font>
    <x:font>
      <x:i/>
      <x:sz val="11"/>
      <x:color rgb="FFC2410C"/>
      <x:name val="Arial"/>
    </x:font>
    <x:font>
      <x:b/>
      <x:sz val="11"/>
      <x:color rgb="FF166534"/>
      <x:name val="Arial"/>
    </x:font>
    <x:font>
      <x:sz val="10"/>
      <x:name val="Arial"/>
    </x:font>
    <x:font>
      <x:b/>
      <x:sz val="10"/>
      <x:color rgb="FF166534"/>
      <x:name val="Arial"/>
    </x:font>
    <x:font>
      <x:b/>
      <x:sz val="10"/>
      <x:color rgb="FFFFFFFF"/>
      <x:name val="Arial"/>
    </x:font>
    <x:font>
      <x:sz val="11"/>
      <x:color rgb="FF166534"/>
      <x:name val="Arial"/>
    </x:font>
    <x:font>
      <x:sz val="1"/>
      <x:color rgb="FFFFFFFF"/>
      <x:name val="Arial"/>
    </x:font>
    <x:font>
      <x:b/>
      <x:sz val="1"/>
      <x:color rgb="FFFFFFFF"/>
      <x:name val="Arial"/>
    </x:font>
    <x:font>
      <x:i/>
      <x:sz val="1"/>
      <x:color rgb="FFFFFFFF"/>
      <x:name val="Arial"/>
    </x:font>
  </x:fonts>
  <x:fills count="13">
    <x:fill>
      <x:patternFill patternType="none"/>
    </x:fill>
    <x:fill>
      <x:patternFill patternType="gray125"/>
    </x:fill>
    <x:fill>
      <x:patternFill patternType="solid">
        <x:fgColor rgb="FF0B1016"/>
      </x:patternFill>
    </x:fill>
    <x:fill>
      <x:patternFill patternType="solid">
        <x:fgColor rgb="FF10232D"/>
      </x:patternFill>
    </x:fill>
    <x:fill>
      <x:patternFill patternType="solid">
        <x:fgColor rgb="FFE8F2FB"/>
      </x:patternFill>
    </x:fill>
    <x:fill>
      <x:patternFill patternType="solid">
        <x:fgColor rgb="FFFFF4E8"/>
      </x:patternFill>
    </x:fill>
    <x:fill>
      <x:patternFill patternType="solid">
        <x:fgColor rgb="FFDFF7FA"/>
      </x:patternFill>
    </x:fill>
    <x:fill>
      <x:patternFill patternType="solid">
        <x:fgColor rgb="FFE8F2FB"/>
      </x:patternFill>
    </x:fill>
    <x:fill>
      <x:patternFill patternType="solid">
        <x:fgColor rgb="FFDCFCE7"/>
      </x:patternFill>
    </x:fill>
    <x:fill>
      <x:patternFill patternType="solid">
        <x:fgColor rgb="FF0B1016"/>
      </x:patternFill>
    </x:fill>
    <x:fill>
      <x:patternFill patternType="solid">
        <x:fgColor rgb="FF10232D"/>
      </x:patternFill>
    </x:fill>
    <x:fill>
      <x:patternFill patternType="solid">
        <x:fgColor rgb="FF0B1016"/>
      </x:patternFill>
    </x:fill>
    <x:fill>
      <x:patternFill patternType="solid">
        <x:fgColor rgb="FFFFFFFF"/>
      </x:patternFill>
    </x:fill>
  </x:fills>
  <x:borders count="26">
    <x:border/>
    <x:border>
      <x:bottom style="medium">
        <x:color rgb="FF4CD6E5"/>
      </x:bottom>
    </x:border>
    <x:border>
      <x:top style="medium">
        <x:color rgb="FF4CD6E5"/>
      </x:top>
    </x:border>
    <x:border>
      <x:bottom style="thin">
        <x:color rgb="FF4CD6E5"/>
      </x:bottom>
    </x:border>
    <x:border>
      <x:left style="none"/>
      <x:top style="none"/>
    </x:border>
    <x:border>
      <x:top style="none"/>
    </x:border>
    <x:border>
      <x:right style="none"/>
      <x:top style="none"/>
    </x:border>
    <x:border>
      <x:left style="none"/>
    </x:border>
    <x:border>
      <x:right style="none"/>
    </x:border>
    <x:border>
      <x:left style="none"/>
      <x:bottom style="none"/>
    </x:border>
    <x:border>
      <x:bottom style="none"/>
    </x:border>
    <x:border>
      <x:right style="none"/>
      <x:bottom style="none"/>
    </x:border>
    <x:border>
      <x:left style="none"/>
      <x:top style="none"/>
      <x:bottom style="none"/>
    </x:border>
    <x:border>
      <x:top style="none"/>
      <x:bottom style="none"/>
    </x:border>
    <x:border>
      <x:right style="none"/>
      <x:top style="none"/>
      <x:bottom style="none"/>
    </x:border>
    <x:border>
      <x:left style="none"/>
      <x:bottom style="medium">
        <x:color rgb="FF4CD6E5"/>
      </x:bottom>
    </x:border>
    <x:border>
      <x:right style="none"/>
      <x:bottom style="medium">
        <x:color rgb="FF4CD6E5"/>
      </x:bottom>
    </x:border>
    <x:border>
      <x:left style="none"/>
      <x:top style="medium">
        <x:color rgb="FF4CD6E5"/>
      </x:top>
    </x:border>
    <x:border>
      <x:right style="none"/>
      <x:top style="medium">
        <x:color rgb="FF4CD6E5"/>
      </x:top>
    </x:border>
    <x:border>
      <x:left style="none"/>
      <x:right style="none"/>
      <x:top style="none"/>
    </x:border>
    <x:border>
      <x:left style="none"/>
      <x:right style="none"/>
    </x:border>
    <x:border>
      <x:left style="none"/>
      <x:right style="none"/>
      <x:bottom style="medium">
        <x:color rgb="FF4CD6E5"/>
      </x:bottom>
    </x:border>
    <x:border>
      <x:left style="none"/>
      <x:right style="none"/>
      <x:bottom style="none"/>
    </x:border>
    <x:border>
      <x:left style="none"/>
      <x:top style="none"/>
      <x:bottom style="medium">
        <x:color rgb="FF4CD6E5"/>
      </x:bottom>
    </x:border>
    <x:border>
      <x:top style="none"/>
      <x:bottom style="medium">
        <x:color rgb="FF4CD6E5"/>
      </x:bottom>
    </x:border>
    <x:border>
      <x:right style="none"/>
      <x:top style="none"/>
      <x:bottom style="medium">
        <x:color rgb="FF4CD6E5"/>
      </x:bottom>
    </x:border>
  </x:borders>
  <x:cellStyleXfs count="1">
    <x:xf numFmtId="0" fontId="0" fillId="0" borderId="0"/>
  </x:cellStyleXfs>
  <x:cellXfs count="24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200" fontId="4" fillId="4" borderId="0" xfId="0" applyNumberFormat="1" applyFont="1" applyFill="1" applyBorder="1"/>
    <x:xf numFmtId="201" fontId="4" fillId="4" borderId="0" xfId="0" applyNumberFormat="1" applyFont="1" applyFill="1" applyBorder="1"/>
    <x:xf numFmtId="202" fontId="4" fillId="4" borderId="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6" fillId="0" borderId="0" xfId="0" applyNumberFormat="1" applyFont="1" applyFill="1" applyBorder="1"/>
    <x:xf numFmtId="0" fontId="7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/>
    <x:xf numFmtId="0" fontId="10" fillId="3" borderId="1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/>
    <x:xf numFmtId="200" fontId="12" fillId="4" borderId="0" xfId="0" applyNumberFormat="1" applyFont="1" applyFill="1" applyBorder="1"/>
    <x:xf numFmtId="0" fontId="12" fillId="4" borderId="0" xfId="0" applyNumberFormat="1" applyFont="1" applyFill="1" applyBorder="1"/>
    <x:xf numFmtId="202" fontId="12" fillId="4" borderId="0" xfId="0" applyNumberFormat="1" applyFont="1" applyFill="1" applyBorder="1"/>
    <x:xf numFmtId="201" fontId="12" fillId="4" borderId="0" xfId="0" applyNumberFormat="1" applyFont="1" applyFill="1" applyBorder="1"/>
    <x:xf numFmtId="0" fontId="13" fillId="0" borderId="0" xfId="0" applyNumberFormat="1" applyFont="1" applyFill="1" applyBorder="1"/>
    <x:xf numFmtId="0" fontId="9" fillId="0" borderId="0" xfId="0" applyNumberFormat="1" applyFont="1" applyFill="1" applyBorder="1" applyAlignment="1">
      <x:alignment vertical="center"/>
    </x:xf>
    <x:xf numFmtId="0" fontId="11" fillId="5" borderId="0" xfId="0" applyNumberFormat="1" applyFont="1" applyFill="1" applyBorder="1" applyAlignment="1">
      <x:alignment vertical="center"/>
    </x:xf>
    <x:xf numFmtId="200" fontId="12" fillId="4" borderId="0" xfId="0" applyNumberFormat="1" applyFont="1" applyFill="1" applyBorder="1" applyAlignment="1">
      <x:alignment vertical="center"/>
    </x:xf>
    <x:xf numFmtId="0" fontId="12" fillId="4" borderId="0" xfId="0" applyNumberFormat="1" applyFont="1" applyFill="1" applyBorder="1" applyAlignment="1">
      <x:alignment vertical="center"/>
    </x:xf>
    <x:xf numFmtId="202" fontId="12" fillId="4" borderId="0" xfId="0" applyNumberFormat="1" applyFont="1" applyFill="1" applyBorder="1" applyAlignment="1">
      <x:alignment vertical="center"/>
    </x:xf>
    <x:xf numFmtId="201" fontId="12" fillId="4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/>
    <x:xf numFmtId="0" fontId="14" fillId="5" borderId="0" xfId="0" applyNumberFormat="1" applyFont="1" applyFill="1" applyBorder="1"/>
    <x:xf numFmtId="0" fontId="14" fillId="5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  <x:xf numFmtId="204" fontId="0" fillId="0" borderId="0" xfId="0" applyNumberFormat="1" applyFont="1" applyFill="1" applyBorder="1"/>
    <x:xf numFmtId="204" fontId="3" fillId="3" borderId="2" xfId="0" applyNumberFormat="1" applyFont="1" applyFill="1" applyBorder="1"/>
    <x:xf numFmtId="205" fontId="0" fillId="0" borderId="0" xfId="0" applyNumberFormat="1" applyFont="1" applyFill="1" applyBorder="1"/>
    <x:xf numFmtId="205" fontId="3" fillId="3" borderId="2" xfId="0" applyNumberFormat="1" applyFont="1" applyFill="1" applyBorder="1"/>
    <x:xf numFmtId="201" fontId="0" fillId="0" borderId="0" xfId="0" applyNumberFormat="1" applyFont="1" applyFill="1" applyBorder="1"/>
    <x:xf numFmtId="0" fontId="0" fillId="6" borderId="0" xfId="0" applyNumberFormat="1" applyFont="1" applyFill="1" applyBorder="1"/>
    <x:xf numFmtId="0" fontId="15" fillId="6" borderId="0" xfId="0" applyNumberFormat="1" applyFont="1" applyFill="1" applyBorder="1"/>
    <x:xf numFmtId="0" fontId="15" fillId="6" borderId="2" xfId="0" applyNumberFormat="1" applyFont="1" applyFill="1" applyBorder="1"/>
    <x:xf numFmtId="202" fontId="0" fillId="0" borderId="0" xfId="0" applyNumberFormat="1" applyFont="1" applyFill="1" applyBorder="1"/>
    <x:xf numFmtId="202" fontId="15" fillId="6" borderId="2" xfId="0" applyNumberFormat="1" applyFont="1" applyFill="1" applyBorder="1"/>
    <x:xf numFmtId="202" fontId="3" fillId="3" borderId="2" xfId="0" applyNumberFormat="1" applyFont="1" applyFill="1" applyBorder="1"/>
    <x:xf numFmtId="206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6" fontId="0" fillId="0" borderId="0" xfId="0" applyNumberFormat="1" applyFont="1" applyFill="1" applyBorder="1" applyAlignment="1">
      <x:alignment wrapText="1"/>
    </x:xf>
    <x:xf numFmtId="202" fontId="9" fillId="0" borderId="0" xfId="0" applyNumberFormat="1" applyFont="1" applyFill="1" applyBorder="1"/>
    <x:xf numFmtId="0" fontId="16" fillId="6" borderId="2" xfId="0" applyNumberFormat="1" applyFont="1" applyFill="1" applyBorder="1"/>
    <x:xf numFmtId="202" fontId="16" fillId="6" borderId="2" xfId="0" applyNumberFormat="1" applyFont="1" applyFill="1" applyBorder="1"/>
    <x:xf numFmtId="0" fontId="10" fillId="3" borderId="2" xfId="0" applyNumberFormat="1" applyFont="1" applyFill="1" applyBorder="1"/>
    <x:xf numFmtId="202" fontId="10" fillId="3" borderId="2" xfId="0" applyNumberFormat="1" applyFont="1" applyFill="1" applyBorder="1"/>
    <x:xf numFmtId="201" fontId="9" fillId="0" borderId="0" xfId="0" applyNumberFormat="1" applyFont="1" applyFill="1" applyBorder="1"/>
    <x:xf numFmtId="0" fontId="17" fillId="5" borderId="0" xfId="0" applyNumberFormat="1" applyFont="1" applyFill="1" applyBorder="1" applyAlignment="1">
      <x:alignment wrapText="1"/>
    </x:xf>
    <x:xf numFmtId="202" fontId="9" fillId="0" borderId="0" xfId="0" applyNumberFormat="1" applyFont="1" applyFill="1" applyBorder="1" applyAlignment="1">
      <x:alignment vertical="center"/>
    </x:xf>
    <x:xf numFmtId="0" fontId="16" fillId="6" borderId="2" xfId="0" applyNumberFormat="1" applyFont="1" applyFill="1" applyBorder="1" applyAlignment="1">
      <x:alignment vertical="center"/>
    </x:xf>
    <x:xf numFmtId="202" fontId="16" fillId="6" borderId="2" xfId="0" applyNumberFormat="1" applyFont="1" applyFill="1" applyBorder="1" applyAlignment="1">
      <x:alignment vertical="center"/>
    </x:xf>
    <x:xf numFmtId="0" fontId="10" fillId="3" borderId="2" xfId="0" applyNumberFormat="1" applyFont="1" applyFill="1" applyBorder="1" applyAlignment="1">
      <x:alignment vertical="center"/>
    </x:xf>
    <x:xf numFmtId="202" fontId="10" fillId="3" borderId="2" xfId="0" applyNumberFormat="1" applyFont="1" applyFill="1" applyBorder="1" applyAlignment="1">
      <x:alignment vertical="center"/>
    </x:xf>
    <x:xf numFmtId="201" fontId="9" fillId="0" borderId="0" xfId="0" applyNumberFormat="1" applyFont="1" applyFill="1" applyBorder="1" applyAlignment="1">
      <x:alignment vertical="center"/>
    </x:xf>
    <x:xf numFmtId="0" fontId="17" fillId="5" borderId="0" xfId="0" applyNumberFormat="1" applyFont="1" applyFill="1" applyBorder="1" applyAlignment="1">
      <x:alignment vertical="center" wrapText="1"/>
    </x:xf>
    <x:xf numFmtId="203" fontId="9" fillId="0" borderId="0" xfId="0" applyNumberFormat="1" applyFont="1" applyFill="1" applyBorder="1"/>
    <x:xf numFmtId="204" fontId="9" fillId="0" borderId="0" xfId="0" applyNumberFormat="1" applyFont="1" applyFill="1" applyBorder="1"/>
    <x:xf numFmtId="205" fontId="9" fillId="0" borderId="0" xfId="0" applyNumberFormat="1" applyFont="1" applyFill="1" applyBorder="1"/>
    <x:xf numFmtId="204" fontId="10" fillId="3" borderId="2" xfId="0" applyNumberFormat="1" applyFont="1" applyFill="1" applyBorder="1"/>
    <x:xf numFmtId="205" fontId="10" fillId="3" borderId="2" xfId="0" applyNumberFormat="1" applyFont="1" applyFill="1" applyBorder="1"/>
    <x:xf numFmtId="203" fontId="9" fillId="0" borderId="0" xfId="0" applyNumberFormat="1" applyFont="1" applyFill="1" applyBorder="1" applyAlignment="1">
      <x:alignment vertical="center"/>
    </x:xf>
    <x:xf numFmtId="204" fontId="9" fillId="0" borderId="0" xfId="0" applyNumberFormat="1" applyFont="1" applyFill="1" applyBorder="1" applyAlignment="1">
      <x:alignment vertical="center"/>
    </x:xf>
    <x:xf numFmtId="205" fontId="9" fillId="0" borderId="0" xfId="0" applyNumberFormat="1" applyFont="1" applyFill="1" applyBorder="1" applyAlignment="1">
      <x:alignment vertical="center"/>
    </x:xf>
    <x:xf numFmtId="204" fontId="10" fillId="3" borderId="2" xfId="0" applyNumberFormat="1" applyFont="1" applyFill="1" applyBorder="1" applyAlignment="1">
      <x:alignment vertical="center"/>
    </x:xf>
    <x:xf numFmtId="205" fontId="10" fillId="3" borderId="2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wrapText="1"/>
    </x:xf>
    <x:xf numFmtId="206" fontId="9" fillId="0" borderId="0" xfId="0" applyNumberFormat="1" applyFont="1" applyFill="1" applyBorder="1" applyAlignment="1">
      <x:alignment wrapText="1"/>
    </x:xf>
    <x:xf numFmtId="206" fontId="9" fillId="0" borderId="0" xfId="0" applyNumberFormat="1" applyFont="1" applyFill="1" applyBorder="1" applyAlignment="1">
      <x:alignment vertical="center" wrapText="1"/>
    </x:xf>
    <x:xf numFmtId="0" fontId="9" fillId="7" borderId="0" xfId="0" applyNumberFormat="1" applyFont="1" applyFill="1" applyBorder="1" applyAlignment="1">
      <x:alignment vertical="center"/>
    </x:xf>
    <x:xf numFmtId="0" fontId="12" fillId="7" borderId="0" xfId="0" applyNumberFormat="1" applyFont="1" applyFill="1" applyBorder="1" applyAlignment="1">
      <x:alignment vertical="center"/>
    </x:xf>
    <x:xf numFmtId="201" fontId="12" fillId="7" borderId="0" xfId="0" applyNumberFormat="1" applyFont="1" applyFill="1" applyBorder="1" applyAlignment="1">
      <x:alignment vertical="center"/>
    </x:xf>
    <x:xf numFmtId="0" fontId="9" fillId="8" borderId="0" xfId="0" applyNumberFormat="1" applyFont="1" applyFill="1" applyBorder="1" applyAlignment="1">
      <x:alignment vertical="center"/>
    </x:xf>
    <x:xf numFmtId="0" fontId="18" fillId="8" borderId="0" xfId="0" applyNumberFormat="1" applyFont="1" applyFill="1" applyBorder="1" applyAlignment="1">
      <x:alignment vertical="center"/>
    </x:xf>
    <x:xf numFmtId="0" fontId="19" fillId="0" borderId="0" xfId="0" applyNumberFormat="1" applyFont="1" applyFill="1" applyBorder="1"/>
    <x:xf numFmtId="0" fontId="20" fillId="0" borderId="0" xfId="0" applyNumberFormat="1" applyFont="1" applyFill="1" applyBorder="1"/>
    <x:xf numFmtId="207" fontId="19" fillId="0" borderId="0" xfId="0" applyNumberFormat="1" applyFont="1" applyFill="1" applyBorder="1"/>
    <x:xf numFmtId="201" fontId="19" fillId="0" borderId="0" xfId="0" applyNumberFormat="1" applyFont="1" applyFill="1" applyBorder="1"/>
    <x:xf numFmtId="202" fontId="19" fillId="0" borderId="0" xfId="0" applyNumberFormat="1" applyFont="1" applyFill="1" applyBorder="1"/>
    <x:xf numFmtId="0" fontId="20" fillId="0" borderId="3" xfId="0" applyNumberFormat="1" applyFont="1" applyFill="1" applyBorder="1"/>
    <x:xf numFmtId="207" fontId="19" fillId="0" borderId="3" xfId="0" applyNumberFormat="1" applyFont="1" applyFill="1" applyBorder="1"/>
    <x:xf numFmtId="201" fontId="19" fillId="0" borderId="3" xfId="0" applyNumberFormat="1" applyFont="1" applyFill="1" applyBorder="1"/>
    <x:xf numFmtId="202" fontId="19" fillId="0" borderId="3" xfId="0" applyNumberFormat="1" applyFont="1" applyFill="1" applyBorder="1"/>
    <x:xf numFmtId="202" fontId="9" fillId="8" borderId="0" xfId="0" applyNumberFormat="1" applyFont="1" applyFill="1" applyBorder="1" applyAlignment="1">
      <x:alignment vertical="center"/>
    </x:xf>
    <x:xf numFmtId="202" fontId="18" fillId="8" borderId="0" xfId="0" applyNumberFormat="1" applyFont="1" applyFill="1" applyBorder="1" applyAlignment="1">
      <x:alignment vertical="center"/>
    </x:xf>
    <x:xf numFmtId="0" fontId="9" fillId="0" borderId="3" xfId="0" applyNumberFormat="1" applyFont="1" applyFill="1" applyBorder="1"/>
    <x:xf numFmtId="202" fontId="9" fillId="0" borderId="3" xfId="0" applyNumberFormat="1" applyFont="1" applyFill="1" applyBorder="1"/>
    <x:xf numFmtId="0" fontId="0" fillId="9" borderId="0" xfId="0" applyNumberFormat="1" applyFont="1" applyFill="1" applyBorder="1"/>
    <x:xf numFmtId="0" fontId="7" fillId="9" borderId="0" xfId="0" applyNumberFormat="1" applyFont="1" applyFill="1" applyBorder="1"/>
    <x:xf numFmtId="0" fontId="8" fillId="9" borderId="0" xfId="0" applyNumberFormat="1" applyFont="1" applyFill="1" applyBorder="1"/>
    <x:xf numFmtId="0" fontId="8" fillId="9" borderId="0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10" fillId="10" borderId="0" xfId="0" applyNumberFormat="1" applyFont="1" applyFill="1" applyBorder="1"/>
    <x:xf numFmtId="0" fontId="10" fillId="10" borderId="1" xfId="0" applyNumberFormat="1" applyFont="1" applyFill="1" applyBorder="1"/>
    <x:xf numFmtId="0" fontId="10" fillId="10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202" fontId="0" fillId="8" borderId="0" xfId="0" applyNumberFormat="1" applyFont="1" applyFill="1" applyBorder="1"/>
    <x:xf numFmtId="0" fontId="18" fillId="8" borderId="0" xfId="0" applyNumberFormat="1" applyFont="1" applyFill="1" applyBorder="1"/>
    <x:xf numFmtId="202" fontId="18" fillId="8" borderId="0" xfId="0" applyNumberFormat="1" applyFont="1" applyFill="1" applyBorder="1"/>
    <x:xf numFmtId="208" fontId="0" fillId="0" borderId="0" xfId="0" applyNumberFormat="1" applyFont="1" applyFill="1" applyBorder="1"/>
    <x:xf numFmtId="208" fontId="0" fillId="8" borderId="0" xfId="0" applyNumberFormat="1" applyFont="1" applyFill="1" applyBorder="1"/>
    <x:xf numFmtId="0" fontId="0" fillId="7" borderId="0" xfId="0" applyNumberFormat="1" applyFont="1" applyFill="1" applyBorder="1" applyAlignment="1">
      <x:alignment wrapText="1"/>
    </x:xf>
    <x:xf numFmtId="0" fontId="12" fillId="7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12" fillId="7" borderId="0" xfId="0" applyNumberFormat="1" applyFont="1" applyFill="1" applyBorder="1"/>
    <x:xf numFmtId="202" fontId="12" fillId="7" borderId="0" xfId="0" applyNumberFormat="1" applyFont="1" applyFill="1" applyBorder="1"/>
    <x:xf numFmtId="202" fontId="12" fillId="7" borderId="0" xfId="0" applyNumberFormat="1" applyFont="1" applyFill="1" applyBorder="1" applyAlignment="1">
      <x:alignment wrapText="1"/>
    </x:xf>
    <x:xf numFmtId="0" fontId="21" fillId="9" borderId="0" xfId="0" applyNumberFormat="1" applyFont="1" applyFill="1" applyBorder="1"/>
    <x:xf numFmtId="0" fontId="9" fillId="8" borderId="0" xfId="0" applyNumberFormat="1" applyFont="1" applyFill="1" applyBorder="1"/>
    <x:xf numFmtId="0" fontId="22" fillId="8" borderId="0" xfId="0" applyNumberFormat="1" applyFont="1" applyFill="1" applyBorder="1"/>
    <x:xf numFmtId="0" fontId="19" fillId="0" borderId="0" xfId="0" applyNumberFormat="1" applyFont="1" applyFill="1" applyBorder="1" applyAlignment="1">
      <x:alignment wrapText="1"/>
    </x:xf>
    <x:xf numFmtId="0" fontId="21" fillId="11" borderId="0" xfId="0" applyNumberFormat="1" applyFont="1" applyFill="1" applyBorder="1"/>
    <x:xf numFmtId="0" fontId="19" fillId="11" borderId="0" xfId="0" applyNumberFormat="1" applyFont="1" applyFill="1" applyBorder="1"/>
    <x:xf numFmtId="0" fontId="7" fillId="11" borderId="0" xfId="0" applyNumberFormat="1" applyFont="1" applyFill="1" applyBorder="1"/>
    <x:xf numFmtId="0" fontId="8" fillId="11" borderId="0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8" fillId="11" borderId="0" xfId="0" applyNumberFormat="1" applyFont="1" applyFill="1" applyBorder="1"/>
    <x:xf numFmtId="0" fontId="0" fillId="0" borderId="0" xfId="0" applyNumberFormat="1" applyFont="1" applyFill="1" applyBorder="1" applyAlignment="1">
      <x:alignment vertical="center" wrapText="1"/>
    </x:xf>
    <x:xf numFmtId="0" fontId="12" fillId="4" borderId="0" xfId="0" applyNumberFormat="1" applyFont="1" applyFill="1" applyBorder="1" applyAlignment="1">
      <x:alignment vertical="center" wrapText="1"/>
    </x:xf>
    <x:xf numFmtId="202" fontId="12" fillId="4" borderId="0" xfId="0" applyNumberFormat="1" applyFont="1" applyFill="1" applyBorder="1" applyAlignment="1">
      <x:alignment vertical="center" wrapText="1"/>
    </x:xf>
    <x:xf numFmtId="0" fontId="9" fillId="12" borderId="0" xfId="0" applyNumberFormat="1" applyFont="1" applyFill="1" applyBorder="1" applyAlignment="1">
      <x:alignment vertical="center"/>
    </x:xf>
    <x:xf numFmtId="202" fontId="9" fillId="12" borderId="0" xfId="0" applyNumberFormat="1" applyFont="1" applyFill="1" applyBorder="1" applyAlignment="1">
      <x:alignment vertical="center"/>
    </x:xf>
    <x:xf numFmtId="0" fontId="23" fillId="12" borderId="0" xfId="0" applyNumberFormat="1" applyFont="1" applyFill="1" applyBorder="1" applyAlignment="1">
      <x:alignment vertical="center"/>
    </x:xf>
    <x:xf numFmtId="202" fontId="23" fillId="12" borderId="0" xfId="0" applyNumberFormat="1" applyFont="1" applyFill="1" applyBorder="1" applyAlignment="1">
      <x:alignment vertical="center"/>
    </x:xf>
    <x:xf numFmtId="0" fontId="23" fillId="12" borderId="4" xfId="0" applyNumberFormat="1" applyFont="1" applyFill="1" applyBorder="1" applyAlignment="1">
      <x:alignment vertical="center"/>
    </x:xf>
    <x:xf numFmtId="202" fontId="23" fillId="12" borderId="5" xfId="0" applyNumberFormat="1" applyFont="1" applyFill="1" applyBorder="1" applyAlignment="1">
      <x:alignment vertical="center"/>
    </x:xf>
    <x:xf numFmtId="0" fontId="23" fillId="12" borderId="5" xfId="0" applyNumberFormat="1" applyFont="1" applyFill="1" applyBorder="1" applyAlignment="1">
      <x:alignment vertical="center"/>
    </x:xf>
    <x:xf numFmtId="202" fontId="23" fillId="12" borderId="6" xfId="0" applyNumberFormat="1" applyFont="1" applyFill="1" applyBorder="1" applyAlignment="1">
      <x:alignment vertical="center"/>
    </x:xf>
    <x:xf numFmtId="0" fontId="23" fillId="12" borderId="7" xfId="0" applyNumberFormat="1" applyFont="1" applyFill="1" applyBorder="1" applyAlignment="1">
      <x:alignment vertical="center"/>
    </x:xf>
    <x:xf numFmtId="202" fontId="23" fillId="12" xfId="0" applyNumberFormat="1" applyFont="1" applyFill="1" applyBorder="0" applyAlignment="1">
      <x:alignment vertical="center"/>
    </x:xf>
    <x:xf numFmtId="0" fontId="23" fillId="12" xfId="0" applyNumberFormat="1" applyFont="1" applyFill="1" applyBorder="0" applyAlignment="1">
      <x:alignment vertical="center"/>
    </x:xf>
    <x:xf numFmtId="202" fontId="23" fillId="12" borderId="8" xfId="0" applyNumberFormat="1" applyFont="1" applyFill="1" applyBorder="1" applyAlignment="1">
      <x:alignment vertical="center"/>
    </x:xf>
    <x:xf numFmtId="0" fontId="23" fillId="12" borderId="8" xfId="0" applyNumberFormat="1" applyFont="1" applyFill="1" applyBorder="1" applyAlignment="1">
      <x:alignment vertical="center"/>
    </x:xf>
    <x:xf numFmtId="0" fontId="23" fillId="12" borderId="9" xfId="0" applyNumberFormat="1" applyFont="1" applyFill="1" applyBorder="1" applyAlignment="1">
      <x:alignment vertical="center"/>
    </x:xf>
    <x:xf numFmtId="202" fontId="23" fillId="12" borderId="10" xfId="0" applyNumberFormat="1" applyFont="1" applyFill="1" applyBorder="1" applyAlignment="1">
      <x:alignment vertical="center"/>
    </x:xf>
    <x:xf numFmtId="0" fontId="23" fillId="12" borderId="10" xfId="0" applyNumberFormat="1" applyFont="1" applyFill="1" applyBorder="1" applyAlignment="1">
      <x:alignment vertical="center"/>
    </x:xf>
    <x:xf numFmtId="0" fontId="23" fillId="12" borderId="11" xfId="0" applyNumberFormat="1" applyFont="1" applyFill="1" applyBorder="1" applyAlignment="1">
      <x:alignment vertical="center"/>
    </x:xf>
    <x:xf numFmtId="0" fontId="23" fillId="12" borderId="6" xfId="0" applyNumberFormat="1" applyFont="1" applyFill="1" applyBorder="1" applyAlignment="1">
      <x:alignment vertical="center"/>
    </x:xf>
    <x:xf numFmtId="0" fontId="23" fillId="12" borderId="12" xfId="0" applyNumberFormat="1" applyFont="1" applyFill="1" applyBorder="1" applyAlignment="1">
      <x:alignment vertical="center"/>
    </x:xf>
    <x:xf numFmtId="202" fontId="23" fillId="12" borderId="13" xfId="0" applyNumberFormat="1" applyFont="1" applyFill="1" applyBorder="1" applyAlignment="1">
      <x:alignment vertical="center"/>
    </x:xf>
    <x:xf numFmtId="0" fontId="23" fillId="12" borderId="13" xfId="0" applyNumberFormat="1" applyFont="1" applyFill="1" applyBorder="1" applyAlignment="1">
      <x:alignment vertical="center"/>
    </x:xf>
    <x:xf numFmtId="0" fontId="23" fillId="12" borderId="14" xfId="0" applyNumberFormat="1" applyFont="1" applyFill="1" applyBorder="1" applyAlignment="1">
      <x:alignment vertical="center"/>
    </x:xf>
    <x:xf numFmtId="0" fontId="9" fillId="12" borderId="3" xfId="0" applyNumberFormat="1" applyFont="1" applyFill="1" applyBorder="1"/>
    <x:xf numFmtId="202" fontId="9" fillId="12" borderId="3" xfId="0" applyNumberFormat="1" applyFont="1" applyFill="1" applyBorder="1"/>
    <x:xf numFmtId="0" fontId="0" fillId="12" borderId="0" xfId="0" applyNumberFormat="1" applyFont="1" applyFill="1" applyBorder="1"/>
    <x:xf numFmtId="0" fontId="23" fillId="12" borderId="3" xfId="0" applyNumberFormat="1" applyFont="1" applyFill="1" applyBorder="1"/>
    <x:xf numFmtId="202" fontId="23" fillId="12" borderId="3" xfId="0" applyNumberFormat="1" applyFont="1" applyFill="1" applyBorder="1"/>
    <x:xf numFmtId="0" fontId="23" fillId="12" borderId="0" xfId="0" applyNumberFormat="1" applyFont="1" applyFill="1" applyBorder="1"/>
    <x:xf numFmtId="0" fontId="23" fillId="12" borderId="12" xfId="0" applyNumberFormat="1" applyFont="1" applyFill="1" applyBorder="1"/>
    <x:xf numFmtId="202" fontId="23" fillId="12" borderId="13" xfId="0" applyNumberFormat="1" applyFont="1" applyFill="1" applyBorder="1"/>
    <x:xf numFmtId="0" fontId="23" fillId="12" borderId="13" xfId="0" applyNumberFormat="1" applyFont="1" applyFill="1" applyBorder="1"/>
    <x:xf numFmtId="0" fontId="23" fillId="12" borderId="14" xfId="0" applyNumberFormat="1" applyFont="1" applyFill="1" applyBorder="1"/>
    <x:xf numFmtId="0" fontId="7" fillId="12" borderId="0" xfId="0" applyNumberFormat="1" applyFont="1" applyFill="1" applyBorder="1" applyAlignment="1">
      <x:alignment vertical="center"/>
    </x:xf>
    <x:xf numFmtId="0" fontId="8" fillId="12" borderId="0" xfId="0" applyNumberFormat="1" applyFont="1" applyFill="1" applyBorder="1" applyAlignment="1">
      <x:alignment vertical="center"/>
    </x:xf>
    <x:xf numFmtId="0" fontId="10" fillId="12" borderId="1" xfId="0" applyNumberFormat="1" applyFont="1" applyFill="1" applyBorder="1" applyAlignment="1">
      <x:alignment vertical="center" wrapText="1"/>
    </x:xf>
    <x:xf numFmtId="205" fontId="9" fillId="12" borderId="0" xfId="0" applyNumberFormat="1" applyFont="1" applyFill="1" applyBorder="1" applyAlignment="1">
      <x:alignment vertical="center"/>
    </x:xf>
    <x:xf numFmtId="205" fontId="10" fillId="12" borderId="2" xfId="0" applyNumberFormat="1" applyFont="1" applyFill="1" applyBorder="1" applyAlignment="1">
      <x:alignment vertical="center"/>
    </x:xf>
    <x:xf numFmtId="0" fontId="17" fillId="12" borderId="0" xfId="0" applyNumberFormat="1" applyFont="1" applyFill="1" applyBorder="1" applyAlignment="1">
      <x:alignment vertical="center" wrapText="1"/>
    </x:xf>
    <x:xf numFmtId="0" fontId="24" fillId="12" borderId="0" xfId="0" applyNumberFormat="1" applyFont="1" applyFill="1" applyBorder="1" applyAlignment="1">
      <x:alignment vertical="center"/>
    </x:xf>
    <x:xf numFmtId="0" fontId="25" fillId="12" borderId="0" xfId="0" applyNumberFormat="1" applyFont="1" applyFill="1" applyBorder="1" applyAlignment="1">
      <x:alignment vertical="center"/>
    </x:xf>
    <x:xf numFmtId="0" fontId="24" fillId="12" borderId="1" xfId="0" applyNumberFormat="1" applyFont="1" applyFill="1" applyBorder="1" applyAlignment="1">
      <x:alignment vertical="center" wrapText="1"/>
    </x:xf>
    <x:xf numFmtId="205" fontId="23" fillId="12" borderId="0" xfId="0" applyNumberFormat="1" applyFont="1" applyFill="1" applyBorder="1" applyAlignment="1">
      <x:alignment vertical="center"/>
    </x:xf>
    <x:xf numFmtId="205" fontId="24" fillId="12" borderId="2" xfId="0" applyNumberFormat="1" applyFont="1" applyFill="1" applyBorder="1" applyAlignment="1">
      <x:alignment vertical="center"/>
    </x:xf>
    <x:xf numFmtId="0" fontId="25" fillId="12" borderId="0" xfId="0" applyNumberFormat="1" applyFont="1" applyFill="1" applyBorder="1" applyAlignment="1">
      <x:alignment vertical="center" wrapText="1"/>
    </x:xf>
    <x:xf numFmtId="0" fontId="24" fillId="12" borderId="4" xfId="0" applyNumberFormat="1" applyFont="1" applyFill="1" applyBorder="1" applyAlignment="1">
      <x:alignment vertical="center"/>
    </x:xf>
    <x:xf numFmtId="0" fontId="24" fillId="12" borderId="6" xfId="0" applyNumberFormat="1" applyFont="1" applyFill="1" applyBorder="1" applyAlignment="1">
      <x:alignment vertical="center"/>
    </x:xf>
    <x:xf numFmtId="0" fontId="25" fillId="12" borderId="7" xfId="0" applyNumberFormat="1" applyFont="1" applyFill="1" applyBorder="1" applyAlignment="1">
      <x:alignment vertical="center"/>
    </x:xf>
    <x:xf numFmtId="0" fontId="25" fillId="12" borderId="8" xfId="0" applyNumberFormat="1" applyFont="1" applyFill="1" applyBorder="1" applyAlignment="1">
      <x:alignment vertical="center"/>
    </x:xf>
    <x:xf numFmtId="0" fontId="24" fillId="12" borderId="15" xfId="0" applyNumberFormat="1" applyFont="1" applyFill="1" applyBorder="1" applyAlignment="1">
      <x:alignment vertical="center" wrapText="1"/>
    </x:xf>
    <x:xf numFmtId="0" fontId="24" fillId="12" borderId="16" xfId="0" applyNumberFormat="1" applyFont="1" applyFill="1" applyBorder="1" applyAlignment="1">
      <x:alignment vertical="center" wrapText="1"/>
    </x:xf>
    <x:xf numFmtId="205" fontId="23" fillId="12" borderId="7" xfId="0" applyNumberFormat="1" applyFont="1" applyFill="1" applyBorder="1" applyAlignment="1">
      <x:alignment vertical="center"/>
    </x:xf>
    <x:xf numFmtId="205" fontId="23" fillId="12" borderId="8" xfId="0" applyNumberFormat="1" applyFont="1" applyFill="1" applyBorder="1" applyAlignment="1">
      <x:alignment vertical="center"/>
    </x:xf>
    <x:xf numFmtId="205" fontId="24" fillId="12" borderId="17" xfId="0" applyNumberFormat="1" applyFont="1" applyFill="1" applyBorder="1" applyAlignment="1">
      <x:alignment vertical="center"/>
    </x:xf>
    <x:xf numFmtId="205" fontId="24" fillId="12" borderId="18" xfId="0" applyNumberFormat="1" applyFont="1" applyFill="1" applyBorder="1" applyAlignment="1">
      <x:alignment vertical="center"/>
    </x:xf>
    <x:xf numFmtId="0" fontId="25" fillId="12" borderId="9" xfId="0" applyNumberFormat="1" applyFont="1" applyFill="1" applyBorder="1" applyAlignment="1">
      <x:alignment vertical="center" wrapText="1"/>
    </x:xf>
    <x:xf numFmtId="0" fontId="25" fillId="12" borderId="11" xfId="0" applyNumberFormat="1" applyFont="1" applyFill="1" applyBorder="1" applyAlignment="1">
      <x:alignment vertical="center" wrapText="1"/>
    </x:xf>
    <x:xf numFmtId="0" fontId="24" fillId="12" borderId="19" xfId="0" applyNumberFormat="1" applyFont="1" applyFill="1" applyBorder="1" applyAlignment="1">
      <x:alignment vertical="center"/>
    </x:xf>
    <x:xf numFmtId="0" fontId="25" fillId="12" borderId="20" xfId="0" applyNumberFormat="1" applyFont="1" applyFill="1" applyBorder="1" applyAlignment="1">
      <x:alignment vertical="center"/>
    </x:xf>
    <x:xf numFmtId="0" fontId="23" fillId="12" borderId="20" xfId="0" applyNumberFormat="1" applyFont="1" applyFill="1" applyBorder="1" applyAlignment="1">
      <x:alignment vertical="center"/>
    </x:xf>
    <x:xf numFmtId="0" fontId="24" fillId="12" borderId="21" xfId="0" applyNumberFormat="1" applyFont="1" applyFill="1" applyBorder="1" applyAlignment="1">
      <x:alignment vertical="center" wrapText="1"/>
    </x:xf>
    <x:xf numFmtId="0" fontId="23" fillId="12" borderId="22" xfId="0" applyNumberFormat="1" applyFont="1" applyFill="1" applyBorder="1" applyAlignment="1">
      <x:alignment vertical="center"/>
    </x:xf>
    <x:xf numFmtId="0" fontId="9" fillId="12" borderId="0" xfId="0" applyNumberFormat="1" applyFont="1" applyFill="1" applyBorder="1" applyAlignment="1">
      <x:alignment vertical="center" wrapText="1"/>
    </x:xf>
    <x:xf numFmtId="0" fontId="23" fillId="12" borderId="0" xfId="0" applyNumberFormat="1" applyFont="1" applyFill="1" applyBorder="1" applyAlignment="1">
      <x:alignment vertical="center" wrapText="1"/>
    </x:xf>
    <x:xf numFmtId="0" fontId="23" fillId="12" borderId="20" xfId="0" applyNumberFormat="1" applyFont="1" applyFill="1" applyBorder="1" applyAlignment="1">
      <x:alignment vertical="center" wrapText="1"/>
    </x:xf>
    <x:xf numFmtId="0" fontId="23" fillId="12" borderId="22" xfId="0" applyNumberFormat="1" applyFont="1" applyFill="1" applyBorder="1" applyAlignment="1">
      <x:alignment vertical="center" wrapText="1"/>
    </x:xf>
    <x:xf numFmtId="201" fontId="9" fillId="12" borderId="0" xfId="0" applyNumberFormat="1" applyFont="1" applyFill="1" applyBorder="1" applyAlignment="1">
      <x:alignment vertical="center"/>
    </x:xf>
    <x:xf numFmtId="0" fontId="20" fillId="12" borderId="0" xfId="0" applyNumberFormat="1" applyFont="1" applyFill="1" applyBorder="1"/>
    <x:xf numFmtId="207" fontId="19" fillId="12" borderId="0" xfId="0" applyNumberFormat="1" applyFont="1" applyFill="1" applyBorder="1"/>
    <x:xf numFmtId="201" fontId="19" fillId="12" borderId="0" xfId="0" applyNumberFormat="1" applyFont="1" applyFill="1" applyBorder="1"/>
    <x:xf numFmtId="202" fontId="19" fillId="12" borderId="0" xfId="0" applyNumberFormat="1" applyFont="1" applyFill="1" applyBorder="1"/>
    <x:xf numFmtId="0" fontId="20" fillId="12" borderId="3" xfId="0" applyNumberFormat="1" applyFont="1" applyFill="1" applyBorder="1"/>
    <x:xf numFmtId="207" fontId="19" fillId="12" borderId="3" xfId="0" applyNumberFormat="1" applyFont="1" applyFill="1" applyBorder="1"/>
    <x:xf numFmtId="201" fontId="19" fillId="12" borderId="3" xfId="0" applyNumberFormat="1" applyFont="1" applyFill="1" applyBorder="1"/>
    <x:xf numFmtId="202" fontId="19" fillId="12" borderId="3" xfId="0" applyNumberFormat="1" applyFont="1" applyFill="1" applyBorder="1"/>
    <x:xf numFmtId="201" fontId="23" fillId="12" borderId="0" xfId="0" applyNumberFormat="1" applyFont="1" applyFill="1" applyBorder="1" applyAlignment="1">
      <x:alignment vertical="center"/>
    </x:xf>
    <x:xf numFmtId="0" fontId="24" fillId="12" borderId="0" xfId="0" applyNumberFormat="1" applyFont="1" applyFill="1" applyBorder="1"/>
    <x:xf numFmtId="207" fontId="23" fillId="12" borderId="0" xfId="0" applyNumberFormat="1" applyFont="1" applyFill="1" applyBorder="1"/>
    <x:xf numFmtId="201" fontId="23" fillId="12" borderId="0" xfId="0" applyNumberFormat="1" applyFont="1" applyFill="1" applyBorder="1"/>
    <x:xf numFmtId="202" fontId="23" fillId="12" borderId="0" xfId="0" applyNumberFormat="1" applyFont="1" applyFill="1" applyBorder="1"/>
    <x:xf numFmtId="0" fontId="24" fillId="12" borderId="3" xfId="0" applyNumberFormat="1" applyFont="1" applyFill="1" applyBorder="1"/>
    <x:xf numFmtId="207" fontId="23" fillId="12" borderId="3" xfId="0" applyNumberFormat="1" applyFont="1" applyFill="1" applyBorder="1"/>
    <x:xf numFmtId="201" fontId="23" fillId="12" borderId="3" xfId="0" applyNumberFormat="1" applyFont="1" applyFill="1" applyBorder="1"/>
    <x:xf numFmtId="0" fontId="24" fillId="12" borderId="23" xfId="0" applyNumberFormat="1" applyFont="1" applyFill="1" applyBorder="1" applyAlignment="1">
      <x:alignment vertical="center" wrapText="1"/>
    </x:xf>
    <x:xf numFmtId="0" fontId="24" fillId="12" borderId="24" xfId="0" applyNumberFormat="1" applyFont="1" applyFill="1" applyBorder="1" applyAlignment="1">
      <x:alignment vertical="center" wrapText="1"/>
    </x:xf>
    <x:xf numFmtId="0" fontId="24" fillId="12" borderId="25" xfId="0" applyNumberFormat="1" applyFont="1" applyFill="1" applyBorder="1" applyAlignment="1">
      <x:alignment vertical="center" wrapText="1"/>
    </x:xf>
    <x:xf numFmtId="201" fontId="23" fillId="12" xfId="0" applyNumberFormat="1" applyFont="1" applyFill="1" applyBorder="0" applyAlignment="1">
      <x:alignment vertical="center"/>
    </x:xf>
    <x:xf numFmtId="0" fontId="24" fillId="12" borderId="7" xfId="0" applyNumberFormat="1" applyFont="1" applyFill="1" applyBorder="1"/>
    <x:xf numFmtId="207" fontId="23" fillId="12" xfId="0" applyNumberFormat="1" applyFont="1" applyFill="1" applyBorder="0"/>
    <x:xf numFmtId="201" fontId="23" fillId="12" xfId="0" applyNumberFormat="1" applyFont="1" applyFill="1" applyBorder="0"/>
    <x:xf numFmtId="202" fontId="23" fillId="12" xfId="0" applyNumberFormat="1" applyFont="1" applyFill="1" applyBorder="0"/>
    <x:xf numFmtId="202" fontId="23" fillId="12" borderId="8" xfId="0" applyNumberFormat="1" applyFont="1" applyFill="1" applyBorder="1"/>
    <x:xf numFmtId="0" fontId="24" fillId="12" borderId="9" xfId="0" applyNumberFormat="1" applyFont="1" applyFill="1" applyBorder="1"/>
    <x:xf numFmtId="207" fontId="23" fillId="12" borderId="10" xfId="0" applyNumberFormat="1" applyFont="1" applyFill="1" applyBorder="1"/>
    <x:xf numFmtId="201" fontId="23" fillId="12" borderId="10" xfId="0" applyNumberFormat="1" applyFont="1" applyFill="1" applyBorder="1"/>
    <x:xf numFmtId="202" fontId="23" fillId="12" borderId="10" xfId="0" applyNumberFormat="1" applyFont="1" applyFill="1" applyBorder="1"/>
    <x:xf numFmtId="202" fontId="23" fillId="12" borderId="11" xfId="0" applyNumberFormat="1" applyFont="1" applyFill="1" applyBorder="1"/>
    <x:xf numFmtId="0" fontId="10" fillId="12" borderId="1" xfId="0" applyNumberFormat="1" applyFont="1" applyFill="1" applyBorder="1" applyAlignment="1">
      <x:alignment wrapText="1"/>
    </x:xf>
    <x:xf numFmtId="0" fontId="0" fillId="12" borderId="0" xfId="0" applyNumberFormat="1" applyFont="1" applyFill="1" applyBorder="1" applyAlignment="1">
      <x:alignment vertical="center" wrapText="1"/>
    </x:xf>
    <x:xf numFmtId="0" fontId="24" fillId="12" borderId="1" xfId="0" applyNumberFormat="1" applyFont="1" applyFill="1" applyBorder="1" applyAlignment="1">
      <x:alignment wrapText="1"/>
    </x:xf>
    <x:xf numFmtId="0" fontId="24" fillId="12" borderId="23" xfId="0" applyNumberFormat="1" applyFont="1" applyFill="1" applyBorder="1" applyAlignment="1">
      <x:alignment wrapText="1"/>
    </x:xf>
    <x:xf numFmtId="0" fontId="24" fillId="12" borderId="24" xfId="0" applyNumberFormat="1" applyFont="1" applyFill="1" applyBorder="1" applyAlignment="1">
      <x:alignment wrapText="1"/>
    </x:xf>
    <x:xf numFmtId="0" fontId="23" fillId="12" borderId="5" xfId="0" applyNumberFormat="1" applyFont="1" applyFill="1" applyBorder="1"/>
    <x:xf numFmtId="0" fontId="23" fillId="12" borderId="6" xfId="0" applyNumberFormat="1" applyFont="1" applyFill="1" applyBorder="1"/>
    <x:xf numFmtId="0" fontId="23" fillId="12" borderId="7" xfId="0" applyNumberFormat="1" applyFont="1" applyFill="1" applyBorder="1" applyAlignment="1">
      <x:alignment vertical="center" wrapText="1"/>
    </x:xf>
    <x:xf numFmtId="0" fontId="23" fillId="12" xfId="0" applyNumberFormat="1" applyFont="1" applyFill="1" applyBorder="0" applyAlignment="1">
      <x:alignment vertical="center" wrapText="1"/>
    </x:xf>
    <x:xf numFmtId="0" fontId="23" fillId="12" xfId="0" applyNumberFormat="1" applyFont="1" applyFill="1" applyBorder="0"/>
    <x:xf numFmtId="0" fontId="23" fillId="12" borderId="8" xfId="0" applyNumberFormat="1" applyFont="1" applyFill="1" applyBorder="1"/>
    <x:xf numFmtId="0" fontId="23" fillId="12" borderId="9" xfId="0" applyNumberFormat="1" applyFont="1" applyFill="1" applyBorder="1" applyAlignment="1">
      <x:alignment vertical="center" wrapText="1"/>
    </x:xf>
    <x:xf numFmtId="0" fontId="23" fillId="12" borderId="10" xfId="0" applyNumberFormat="1" applyFont="1" applyFill="1" applyBorder="1" applyAlignment="1">
      <x:alignment vertical="center" wrapText="1"/>
    </x:xf>
    <x:xf numFmtId="0" fontId="23" fillId="12" borderId="10" xfId="0" applyNumberFormat="1" applyFont="1" applyFill="1" applyBorder="1"/>
    <x:xf numFmtId="0" fontId="23" fillId="12" borderId="11" xfId="0" applyNumberFormat="1" applyFont="1" applyFill="1" applyBorder="1"/>
  </x:cellXfs>
  <x:cellStyles count="1">
    <x:cellStyle name="Normal" xfId="0"/>
  </x:cellStyles>
  <x:dxfs count="2">
    <x:dxf>
      <x:font>
        <x:color rgb="FF067647"/>
      </x:font>
      <x:fill>
        <x:patternFill>
          <x:bgColor rgb="FFDDF5E8"/>
        </x:patternFill>
      </x:fill>
    </x:dxf>
    <x:dxf>
      <x:font>
        <x:color rgb="FFB42318"/>
      </x:font>
      <x:fill>
        <x:patternFill>
          <x:bgColor rgb="FFFDE7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12444501d444c1" /><Relationship Type="http://schemas.openxmlformats.org/officeDocument/2006/relationships/theme" Target="/xl/theme/theme1.xml" Id="Rf82222aa00f04e53" /><Relationship Type="http://schemas.openxmlformats.org/officeDocument/2006/relationships/sharedStrings" Target="/xl/sharedStrings.xml" Id="R6e4c4b6c98dd4aa0" /><Relationship Type="http://schemas.openxmlformats.org/officeDocument/2006/relationships/worksheet" Target="/xl/worksheets/sheet1.xml" Id="R5cdd590212534941" /><Relationship Type="http://schemas.openxmlformats.org/officeDocument/2006/relationships/worksheet" Target="/xl/worksheets/sheet2.xml" Id="Rdbf76da2ac2d467a" /><Relationship Type="http://schemas.openxmlformats.org/officeDocument/2006/relationships/worksheet" Target="/xl/worksheets/sheet3.xml" Id="Rf2032615004d45d3" /><Relationship Type="http://schemas.openxmlformats.org/officeDocument/2006/relationships/worksheet" Target="/xl/worksheets/sheet4.xml" Id="Re5f1cb76283546d9" /><Relationship Type="http://schemas.openxmlformats.org/officeDocument/2006/relationships/worksheet" Target="/xl/worksheets/sheet5.xml" Id="R325712292b8342fb" /><Relationship Type="http://schemas.openxmlformats.org/officeDocument/2006/relationships/worksheet" Target="/xl/worksheets/sheet6.xml" Id="R3faca3d41f214cd8" /><Relationship Type="http://schemas.openxmlformats.org/officeDocument/2006/relationships/worksheet" Target="/xl/worksheets/sheet7.xml" Id="R495a339825ac490d" /><Relationship Type="http://schemas.openxmlformats.org/officeDocument/2006/relationships/worksheet" Target="/xl/worksheets/sheet8.xml" Id="R1de9b3f933724736" /><Relationship Type="http://schemas.openxmlformats.org/officeDocument/2006/relationships/worksheet" Target="/xl/worksheets/sheet9.xml" Id="Rceedbf1003e8424f" /><Relationship Type="http://schemas.openxmlformats.org/officeDocument/2006/relationships/worksheet" Target="/xl/worksheets/sheet10.xml" Id="R4cf2c1c4e6244c85" /><Relationship Type="http://schemas.microsoft.com/office/2017/10/relationships/person" Target="/xl/persons/person.xml" Id="R8350035f7bcc403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d158b0de0b44fd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59b707c879644f5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Revenue by product ($)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Core</c:v>
          </c:tx>
          <c:cat>
            <c:strRef>
              <c:f>'Executive Summary'!$F$5:$F$7</c:f>
              <c:strCache>
                <c:ptCount val="0"/>
              </c:strCache>
            </c:strRef>
          </c:cat>
          <c:val>
            <c:numRef>
              <c:f>'Executive Summary'!$G$5:$G$7</c:f>
              <c:numCache>
                <c:formatCode>$#,##0;[Red]($#,##0);-</c:formatCode>
                <c:ptCount val="0"/>
              </c:numCache>
            </c:numRef>
          </c:val>
        </c:ser>
        <c:ser>
          <c:idx val="1"/>
          <c:order val="1"/>
          <c:tx>
            <c:v>Engage</c:v>
          </c:tx>
          <c:cat>
            <c:strRef>
              <c:f>'Executive Summary'!$F$5:$F$7</c:f>
              <c:strCache>
                <c:ptCount val="0"/>
              </c:strCache>
            </c:strRef>
          </c:cat>
          <c:val>
            <c:numRef>
              <c:f>'Executive Summary'!$H$5:$H$7</c:f>
              <c:numCache>
                <c:formatCode>$#,##0;[Red]($#,##0);-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Acquisition plan lifts revenue without changing retention ($)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Underwritten Base</c:v>
          </c:tx>
          <c:cat>
            <c:strRef>
              <c:f>'GTM Plan'!$I$5:$I$7</c:f>
              <c:strCache>
                <c:ptCount val="0"/>
              </c:strCache>
            </c:strRef>
          </c:cat>
          <c:val>
            <c:numRef>
              <c:f>'GTM Plan'!$J$5:$J$7</c:f>
              <c:numCache>
                <c:formatCode>$#,##0;[Red]($#,##0);-</c:formatCode>
                <c:ptCount val="0"/>
              </c:numCache>
            </c:numRef>
          </c:val>
        </c:ser>
        <c:ser>
          <c:idx val="1"/>
          <c:order val="1"/>
          <c:tx>
            <c:v>Marketing-backed</c:v>
          </c:tx>
          <c:cat>
            <c:strRef>
              <c:f>'GTM Plan'!$I$5:$I$7</c:f>
              <c:strCache>
                <c:ptCount val="0"/>
              </c:strCache>
            </c:strRef>
          </c:cat>
          <c:val>
            <c:numRef>
              <c:f>'GTM Plan'!$K$5:$K$7</c:f>
              <c:numCache>
                <c:formatCode>$#,##0;[Red]($#,##0);-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0.0,,&quot;M&quot;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8</xdr:row>
      <xdr:rowOff>0</xdr:rowOff>
    </xdr:from>
    <xdr:to>
      <xdr:col>9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d158b0de0b44f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8</xdr:col>
      <xdr:colOff>0</xdr:colOff>
      <xdr:row>8</xdr:row>
      <xdr:rowOff>0</xdr:rowOff>
    </xdr:from>
    <xdr:to>
      <xdr:col>12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9b707c879644f5e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Ahmad AbdulMajeed" id="{E8EE1179-C8FA-4420-9ED3-266150FE1A16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5" dT="2026-08-28T09:13:06.547" personId="{E8EE1179-C8FA-4420-9ED3-266150FE1A16}" id="{AC54A23C-8CF2-4653-A44A-0F3B5EDB2655}">
    <xltc:text>Management timeline supplied 2026-08-28. Monthly model begins Nov 2026 to represent a mid-Oct access release.</xltc:text>
  </xltc:threadedComment>
  <xltc:threadedComment ref="B8" dT="2026-08-28T09:13:06.548" personId="{E8EE1179-C8FA-4420-9ED3-266150FE1A16}" id="{2021EDAA-A3B0-458B-B835-B2AF9672ED60}">
    <xltc:text>Management target: 12 individuals during the first four Beta months.</xltc:text>
  </xltc:threadedComment>
  <xltc:threadedComment ref="B9" dT="2026-08-28T09:13:06.548" personId="{E8EE1179-C8FA-4420-9ED3-266150FE1A16}" id="{F011C684-8497-4977-9E1C-EEDCE835895E}">
    <xltc:text>Management target: add 18 individuals in the final two Beta months, reaching 30.</xltc:text>
  </xltc:threadedComment>
  <xltc:threadedComment ref="B10" dT="2026-08-28T09:13:06.548" personId="{E8EE1179-C8FA-4420-9ED3-266150FE1A16}" id="{9F9B1657-119C-4F26-A188-EE257AED6453}">
    <xltc:text>Management-supplied annual Pro price: $190.</xltc:text>
  </xltc:threadedComment>
  <xltc:threadedComment ref="B14" dT="2026-08-28T09:13:06.548" personId="{E8EE1179-C8FA-4420-9ED3-266150FE1A16}" id="{4B1DA719-55CD-47B8-BDC7-4B87099895CC}">
    <xltc:text>Planning assumption pending signed team contracts: $240 per paid seat per year; minimum three seats.</xltc:text>
  </xltc:threadedComment>
  <xltc:threadedComment ref="B21" dT="2026-08-28T09:13:06.548" personId="{E8EE1179-C8FA-4420-9ED3-266150FE1A16}" id="{E7F3DB89-8AA1-420D-B539-1192BCA76E14}">
    <xltc:text>Source: https://chartmogul.com/reports/saas-billing-report/ | low-ARPA annual retention benchmark.</xltc:text>
  </xltc:threadedComment>
</xltc:ThreadedComments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0e71685d1f049b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1.xml" Id="Re45b8012904848b4" /><Relationship Type="http://schemas.openxmlformats.org/officeDocument/2006/relationships/vmlDrawing" Target="/xl/drawings/vmldrawing.vml" Id="R2fce820a502f49a5" /><Relationship Type="http://schemas.microsoft.com/office/2017/10/relationships/threadedComment" Target="/xl/threadedcomments/threadedcomment.xml" Id="R95f00d3d2f2d472c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2.xml" Id="Rfe8729dc5b6644f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17" hidden="0" customWidth="1"/>
    <x:col min="3" max="3" width="17" hidden="0" customWidth="1"/>
    <x:col min="4" max="4" width="17" hidden="0" customWidth="1"/>
    <x:col min="5" max="5" width="4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</x:cols>
  <x:sheetData>
    <x:row r="1" ht="28" customHeight="1">
      <x:c r="A1" s="19" t="str">
        <x:v>MIMAR Investor Snapshot</x:v>
      </x:c>
      <x:c r="B1" s="19" t="str">
        <x:v>MIMAR Portfolio — Investor Revenue Model</x:v>
      </x:c>
      <x:c r="C1" s="19" t="str">
        <x:v>MIMAR Portfolio — Investor Revenue Model</x:v>
      </x:c>
      <x:c r="D1" s="19" t="str">
        <x:v>MIMAR Portfolio — Investor Revenue Model</x:v>
      </x:c>
      <x:c r="E1" s="19" t="str">
        <x:v>MIMAR Portfolio — Investor Revenue Model</x:v>
      </x:c>
      <x:c r="F1" s="19" t="str">
        <x:v>MIMAR Portfolio — Investor Revenue Model</x:v>
      </x:c>
      <x:c r="G1" s="19" t="str">
        <x:v>MIMAR Portfolio — Investor Revenue Model</x:v>
      </x:c>
      <x:c r="H1" s="19" t="str">
        <x:v>MIMAR Portfolio — Investor Revenue Model</x:v>
      </x:c>
      <x:c r="I1" s="19" t="str">
        <x:v>MIMAR Portfolio — Investor Revenue Model</x:v>
      </x:c>
    </x:row>
    <x:row r="2" ht="25" customHeight="1">
      <x:c r="A2" s="20" t="str">
        <x:v>Paid Beta, three-year outlook, and the assumptions behind the MIMAR product suite</x:v>
      </x:c>
      <x:c r="B2" s="20" t="str">
        <x:v>Paid Beta Nov 2026–Apr 2027 | Commercial forecast May 2027–Apr 2030 | Explicit cohorts and segmented retention</x:v>
      </x:c>
      <x:c r="C2" s="20" t="str">
        <x:v>Paid Beta Nov 2026–Apr 2027 | Commercial forecast May 2027–Apr 2030 | Explicit cohorts and segmented retention</x:v>
      </x:c>
      <x:c r="D2" s="20" t="str">
        <x:v>Paid Beta Nov 2026–Apr 2027 | Commercial forecast May 2027–Apr 2030 | Explicit cohorts and segmented retention</x:v>
      </x:c>
      <x:c r="E2" s="20" t="str">
        <x:v>Paid Beta Nov 2026–Apr 2027 | Commercial forecast May 2027–Apr 2030 | Explicit cohorts and segmented retention</x:v>
      </x:c>
      <x:c r="F2" s="20" t="str">
        <x:v>Paid Beta Nov 2026–Apr 2027 | Commercial forecast May 2027–Apr 2030 | Explicit cohorts and segmented retention</x:v>
      </x:c>
      <x:c r="G2" s="20" t="str">
        <x:v>Paid Beta Nov 2026–Apr 2027 | Commercial forecast May 2027–Apr 2030 | Explicit cohorts and segmented retention</x:v>
      </x:c>
      <x:c r="H2" s="20" t="str">
        <x:v>Paid Beta Nov 2026–Apr 2027 | Commercial forecast May 2027–Apr 2030 | Explicit cohorts and segmented retention</x:v>
      </x:c>
      <x:c r="I2" s="20" t="str">
        <x:v>Paid Beta Nov 2026–Apr 2027 | Commercial forecast May 2027–Apr 2030 | Explicit cohorts and segmented retention</x:v>
      </x:c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</x:row>
    <x:row r="4" ht="27" customHeight="1">
      <x:c r="A4" s="22" t="str">
        <x:v>Revenue stream</x:v>
      </x:c>
      <x:c r="B4" s="22" t="str">
        <x:v>Y1</x:v>
      </x:c>
      <x:c r="C4" s="22" t="str">
        <x:v>Y2</x:v>
      </x:c>
      <x:c r="D4" s="22" t="str">
        <x:v>Y3</x:v>
      </x:c>
      <x:c r="E4" s="29"/>
      <x:c r="F4" s="22" t="str">
        <x:v>Year</x:v>
      </x:c>
      <x:c r="G4" s="22" t="str">
        <x:v>Core</x:v>
      </x:c>
      <x:c r="H4" s="22" t="str">
        <x:v>Engage</x:v>
      </x:c>
      <x:c r="I4" s="22" t="str">
        <x:v>Total MIMAR</x:v>
      </x:c>
    </x:row>
    <x:row r="5" ht="2" customHeight="1">
      <x:c r="A5" s="137" t="str">
        <x:v>CORE — Beta cohort carry</x:v>
      </x:c>
      <x:c r="B5" s="138" t="n">
        <x:f>SUM('Core Monthly'!F5:F16)+SUM('Core Monthly'!J5:J16)</x:f>
        <x:v>6384</x:v>
      </x:c>
      <x:c r="C5" s="138" t="n">
        <x:f>SUM('Core Monthly'!F17:F28)+SUM('Core Monthly'!J17:J28)</x:f>
        <x:v>4240.800000000001</x:v>
      </x:c>
      <x:c r="D5" s="138" t="n">
        <x:f>SUM('Core Monthly'!F29:F40)+SUM('Core Monthly'!J29:J40)</x:f>
        <x:v>2913.8399999999992</x:v>
      </x:c>
      <x:c r="E5" s="139"/>
      <x:c r="F5" s="139" t="str">
        <x:v>Y1</x:v>
      </x:c>
      <x:c r="G5" s="138" t="n">
        <x:f>B11</x:f>
        <x:v>61484</x:v>
      </x:c>
      <x:c r="H5" s="138" t="n">
        <x:f>B19</x:f>
        <x:v>58755</x:v>
      </x:c>
      <x:c r="I5" s="140" t="n">
        <x:f>B21</x:f>
        <x:v>120239</x:v>
      </x:c>
    </x:row>
    <x:row r="6" ht="2" customHeight="1">
      <x:c r="A6" s="141" t="str">
        <x:v>CORE — Commercial individuals</x:v>
      </x:c>
      <x:c r="B6" s="142" t="n">
        <x:f>SUM('Core Monthly'!H5:H16)</x:f>
        <x:v>10400</x:v>
      </x:c>
      <x:c r="C6" s="142" t="n">
        <x:f>SUM('Core Monthly'!H17:H28)</x:f>
        <x:v>42210</x:v>
      </x:c>
      <x:c r="D6" s="142" t="n">
        <x:f>SUM('Core Monthly'!H29:H40)</x:f>
        <x:v>109640</x:v>
      </x:c>
      <x:c r="E6" s="143"/>
      <x:c r="F6" s="143" t="str">
        <x:v>Y2</x:v>
      </x:c>
      <x:c r="G6" s="142" t="n">
        <x:f>C11</x:f>
        <x:v>188747.13333333333</x:v>
      </x:c>
      <x:c r="H6" s="142" t="n">
        <x:f>C19</x:f>
        <x:v>176016</x:v>
      </x:c>
      <x:c r="I6" s="144" t="n">
        <x:f>C21</x:f>
        <x:v>364763.1333333333</x:v>
      </x:c>
    </x:row>
    <x:row r="7" ht="2" customHeight="1">
      <x:c r="A7" s="141" t="str">
        <x:v>CORE — Commercial team seats</x:v>
      </x:c>
      <x:c r="B7" s="142" t="n">
        <x:f>SUM('Core Monthly'!L5:L16)</x:f>
        <x:v>20800</x:v>
      </x:c>
      <x:c r="C7" s="142" t="n">
        <x:f>SUM('Core Monthly'!L17:L28)</x:f>
        <x:v>81378</x:v>
      </x:c>
      <x:c r="D7" s="142" t="n">
        <x:f>SUM('Core Monthly'!L29:L40)</x:f>
        <x:v>218016</x:v>
      </x:c>
      <x:c r="E7" s="143"/>
      <x:c r="F7" s="143" t="str">
        <x:v>Y3</x:v>
      </x:c>
      <x:c r="G7" s="142" t="n">
        <x:f>D11</x:f>
        <x:v>512425.83999999997</x:v>
      </x:c>
      <x:c r="H7" s="142" t="n">
        <x:f>D19</x:f>
        <x:v>430706.642</x:v>
      </x:c>
      <x:c r="I7" s="144" t="n">
        <x:f>D21</x:f>
        <x:v>943132.482</x:v>
      </x:c>
    </x:row>
    <x:row r="8" ht="2" customHeight="1">
      <x:c r="A8" s="141" t="str">
        <x:v>CORE — Enterprise</x:v>
      </x:c>
      <x:c r="B8" s="142" t="n">
        <x:f>SUM('Core Monthly'!N5:N16)</x:f>
        <x:v>0</x:v>
      </x:c>
      <x:c r="C8" s="142" t="n">
        <x:f>SUM('Core Monthly'!N17:N28)</x:f>
        <x:v>10833.333333333332</x:v>
      </x:c>
      <x:c r="D8" s="142" t="n">
        <x:f>SUM('Core Monthly'!N29:N40)</x:f>
        <x:v>55550</x:v>
      </x:c>
      <x:c r="E8" s="143"/>
      <x:c r="F8" s="143"/>
      <x:c r="G8" s="143"/>
      <x:c r="H8" s="143"/>
      <x:c r="I8" s="145"/>
    </x:row>
    <x:row r="9" ht="2" customHeight="1">
      <x:c r="A9" s="141" t="str">
        <x:v>CORE — Metered usage</x:v>
      </x:c>
      <x:c r="B9" s="142" t="n">
        <x:f>SUM('Core Monthly'!P5:P16)</x:f>
        <x:v>3900</x:v>
      </x:c>
      <x:c r="C9" s="142" t="n">
        <x:f>SUM('Core Monthly'!P17:P28)</x:f>
        <x:v>22185</x:v>
      </x:c>
      <x:c r="D9" s="142" t="n">
        <x:f>SUM('Core Monthly'!P29:P40)</x:f>
        <x:v>79056</x:v>
      </x:c>
      <x:c r="E9" s="143"/>
      <x:c r="F9" s="143"/>
      <x:c r="G9" s="143"/>
      <x:c r="H9" s="143"/>
      <x:c r="I9" s="145"/>
    </x:row>
    <x:row r="10" ht="2" customHeight="1">
      <x:c r="A10" s="146" t="str">
        <x:v>CORE — Onboarding</x:v>
      </x:c>
      <x:c r="B10" s="147" t="n">
        <x:f>SUM('Core Monthly'!R5:R16)</x:f>
        <x:v>20000</x:v>
      </x:c>
      <x:c r="C10" s="147" t="n">
        <x:f>SUM('Core Monthly'!R17:R28)</x:f>
        <x:v>27900</x:v>
      </x:c>
      <x:c r="D10" s="147" t="n">
        <x:f>SUM('Core Monthly'!R29:R40)</x:f>
        <x:v>47250</x:v>
      </x:c>
      <x:c r="E10" s="148"/>
      <x:c r="F10" s="148"/>
      <x:c r="G10" s="148"/>
      <x:c r="H10" s="148"/>
      <x:c r="I10" s="149"/>
    </x:row>
    <x:row r="11">
      <x:c r="A11" s="63" t="str">
        <x:v>CORE TOTAL</x:v>
      </x:c>
      <x:c r="B11" s="64" t="n">
        <x:f>SUM(B5:B10)</x:f>
        <x:v>61484</x:v>
      </x:c>
      <x:c r="C11" s="64" t="n">
        <x:f>SUM(C5:C10)</x:f>
        <x:v>188747.13333333333</x:v>
      </x:c>
      <x:c r="D11" s="64" t="n">
        <x:f>SUM(D5:D10)</x:f>
        <x:v>512425.83999999997</x:v>
      </x:c>
      <x:c r="E11" s="29"/>
      <x:c r="F11" s="29"/>
      <x:c r="G11" s="29"/>
      <x:c r="H11" s="29"/>
      <x:c r="I11" s="29"/>
    </x:row>
    <x:row r="12">
      <x:c r="A12" s="29"/>
      <x:c r="B12" s="62"/>
      <x:c r="C12" s="62"/>
      <x:c r="D12" s="62"/>
      <x:c r="E12" s="29"/>
      <x:c r="F12" s="29"/>
      <x:c r="G12" s="29"/>
      <x:c r="H12" s="29"/>
      <x:c r="I12" s="29"/>
    </x:row>
    <x:row r="13" ht="2" customHeight="1">
      <x:c r="A13" s="137" t="str">
        <x:v>ENGAGE — Starter</x:v>
      </x:c>
      <x:c r="B13" s="138" t="n">
        <x:f>SUM('Engage Monthly'!E5:E16)</x:f>
        <x:v>9652.5</x:v>
      </x:c>
      <x:c r="C13" s="138" t="n">
        <x:f>SUM('Engage Monthly'!E17:E28)</x:f>
        <x:v>28908</x:v>
      </x:c>
      <x:c r="D13" s="138" t="n">
        <x:f>SUM('Engage Monthly'!E29:E40)</x:f>
        <x:v>55123.19999999999</x:v>
      </x:c>
      <x:c r="E13" s="139"/>
      <x:c r="F13" s="139"/>
      <x:c r="G13" s="139"/>
      <x:c r="H13" s="139"/>
      <x:c r="I13" s="150"/>
    </x:row>
    <x:row r="14" ht="2" customHeight="1">
      <x:c r="A14" s="141" t="str">
        <x:v>ENGAGE — Growth</x:v>
      </x:c>
      <x:c r="B14" s="142" t="n">
        <x:f>SUM('Engage Monthly'!G5:G16)</x:f>
        <x:v>19422</x:v>
      </x:c>
      <x:c r="C14" s="142" t="n">
        <x:f>SUM('Engage Monthly'!G17:G28)</x:f>
        <x:v>72732.9</x:v>
      </x:c>
      <x:c r="D14" s="142" t="n">
        <x:f>SUM('Engage Monthly'!G29:G40)</x:f>
        <x:v>193383.36</x:v>
      </x:c>
      <x:c r="E14" s="143"/>
      <x:c r="F14" s="143"/>
      <x:c r="G14" s="143"/>
      <x:c r="H14" s="143"/>
      <x:c r="I14" s="145"/>
    </x:row>
    <x:row r="15" ht="2" customHeight="1">
      <x:c r="A15" s="141" t="str">
        <x:v>ENGAGE — Scale</x:v>
      </x:c>
      <x:c r="B15" s="142" t="n">
        <x:f>SUM('Engage Monthly'!I5:I16)</x:f>
        <x:v>11680.5</x:v>
      </x:c>
      <x:c r="C15" s="142" t="n">
        <x:f>SUM('Engage Monthly'!I17:I28)</x:f>
        <x:v>38875.100000000006</x:v>
      </x:c>
      <x:c r="D15" s="142" t="n">
        <x:f>SUM('Engage Monthly'!I29:I40)</x:f>
        <x:v>96534.84</x:v>
      </x:c>
      <x:c r="E15" s="143"/>
      <x:c r="F15" s="143"/>
      <x:c r="G15" s="143"/>
      <x:c r="H15" s="143"/>
      <x:c r="I15" s="145"/>
    </x:row>
    <x:row r="16" ht="2" customHeight="1">
      <x:c r="A16" s="141" t="str">
        <x:v>ENGAGE — Enterprise</x:v>
      </x:c>
      <x:c r="B16" s="142" t="n">
        <x:f>SUM('Engage Monthly'!K5:K16)</x:f>
        <x:v>0</x:v>
      </x:c>
      <x:c r="C16" s="142" t="n">
        <x:f>SUM('Engage Monthly'!K17:K28)</x:f>
        <x:v>6500</x:v>
      </x:c>
      <x:c r="D16" s="142" t="n">
        <x:f>SUM('Engage Monthly'!K29:K40)</x:f>
        <x:v>23800</x:v>
      </x:c>
      <x:c r="E16" s="143"/>
      <x:c r="F16" s="143"/>
      <x:c r="G16" s="143"/>
      <x:c r="H16" s="143"/>
      <x:c r="I16" s="145"/>
    </x:row>
    <x:row r="17" ht="2" customHeight="1">
      <x:c r="A17" s="141" t="str">
        <x:v>ENGAGE — Usage/add-ons</x:v>
      </x:c>
      <x:c r="B17" s="142" t="n">
        <x:f>SUM('Engage Monthly'!M5:M16)</x:f>
        <x:v>0</x:v>
      </x:c>
      <x:c r="C17" s="142" t="n">
        <x:f>SUM('Engage Monthly'!M17:M28)</x:f>
        <x:v>0</x:v>
      </x:c>
      <x:c r="D17" s="142" t="n">
        <x:f>SUM('Engage Monthly'!M29:M40)</x:f>
        <x:v>11065.241999999998</x:v>
      </x:c>
      <x:c r="E17" s="143"/>
      <x:c r="F17" s="143"/>
      <x:c r="G17" s="143"/>
      <x:c r="H17" s="143"/>
      <x:c r="I17" s="145"/>
    </x:row>
    <x:row r="18" ht="2" customHeight="1">
      <x:c r="A18" s="146" t="str">
        <x:v>ENGAGE — Onboarding</x:v>
      </x:c>
      <x:c r="B18" s="147" t="n">
        <x:f>SUM('Engage Monthly'!R5:R16)</x:f>
        <x:v>18000</x:v>
      </x:c>
      <x:c r="C18" s="147" t="n">
        <x:f>SUM('Engage Monthly'!R17:R28)</x:f>
        <x:v>29000.00000000001</x:v>
      </x:c>
      <x:c r="D18" s="147" t="n">
        <x:f>SUM('Engage Monthly'!R29:R40)</x:f>
        <x:v>50800.00000000001</x:v>
      </x:c>
      <x:c r="E18" s="148"/>
      <x:c r="F18" s="148"/>
      <x:c r="G18" s="148"/>
      <x:c r="H18" s="148"/>
      <x:c r="I18" s="149"/>
    </x:row>
    <x:row r="19">
      <x:c r="A19" s="63" t="str">
        <x:v>ENGAGE TOTAL</x:v>
      </x:c>
      <x:c r="B19" s="64" t="n">
        <x:f>SUM(B13:B18)</x:f>
        <x:v>58755</x:v>
      </x:c>
      <x:c r="C19" s="64" t="n">
        <x:f>SUM(C13:C18)</x:f>
        <x:v>176016</x:v>
      </x:c>
      <x:c r="D19" s="64" t="n">
        <x:f>SUM(D13:D18)</x:f>
        <x:v>430706.642</x:v>
      </x:c>
      <x:c r="E19" s="29"/>
      <x:c r="F19" s="29"/>
      <x:c r="G19" s="29"/>
      <x:c r="H19" s="29"/>
      <x:c r="I19" s="29"/>
    </x:row>
    <x:row r="20">
      <x:c r="A20" s="29"/>
      <x:c r="B20" s="62"/>
      <x:c r="C20" s="62"/>
      <x:c r="D20" s="62"/>
      <x:c r="E20" s="29"/>
      <x:c r="F20" s="29"/>
      <x:c r="G20" s="29"/>
      <x:c r="H20" s="29"/>
      <x:c r="I20" s="29"/>
    </x:row>
    <x:row r="21">
      <x:c r="A21" s="65" t="str">
        <x:v>TOTAL MIMAR REVENUE</x:v>
      </x:c>
      <x:c r="B21" s="66" t="n">
        <x:f>B11+B19</x:f>
        <x:v>120239</x:v>
      </x:c>
      <x:c r="C21" s="66" t="n">
        <x:f>C11+C19</x:f>
        <x:v>364763.1333333333</x:v>
      </x:c>
      <x:c r="D21" s="66" t="n">
        <x:f>D11+D19</x:f>
        <x:v>943132.482</x:v>
      </x:c>
      <x:c r="E21" s="29"/>
      <x:c r="F21" s="29"/>
      <x:c r="G21" s="29"/>
      <x:c r="H21" s="29"/>
      <x:c r="I21" s="29"/>
    </x:row>
    <x:row r="22">
      <x:c r="A22" s="29" t="str">
        <x:v>Ending MRR (recurring only)</x:v>
      </x:c>
      <x:c r="B22" s="62" t="n">
        <x:f>'Core Monthly'!S16-'Core Monthly'!R16+'Engage Monthly'!S16-'Engage Monthly'!R16</x:f>
        <x:v>12063</x:v>
      </x:c>
      <x:c r="C22" s="62" t="n">
        <x:f>'Core Monthly'!S28-'Core Monthly'!R28+'Engage Monthly'!S28-'Engage Monthly'!R28</x:f>
        <x:v>37741.866666666676</x:v>
      </x:c>
      <x:c r="D22" s="62" t="n">
        <x:f>'Core Monthly'!S40-'Core Monthly'!R40+'Engage Monthly'!S40-'Engage Monthly'!R40</x:f>
        <x:v>100167.48100000001</x:v>
      </x:c>
      <x:c r="E22" s="29"/>
      <x:c r="F22" s="29"/>
      <x:c r="G22" s="29"/>
      <x:c r="H22" s="29"/>
      <x:c r="I22" s="29"/>
    </x:row>
    <x:row r="23">
      <x:c r="A23" s="29" t="str">
        <x:v>Exit ARR</x:v>
      </x:c>
      <x:c r="B23" s="62" t="n">
        <x:f>B22*12</x:f>
        <x:v>144756</x:v>
      </x:c>
      <x:c r="C23" s="62" t="n">
        <x:f>C22*12</x:f>
        <x:v>452902.40000000014</x:v>
      </x:c>
      <x:c r="D23" s="62" t="n">
        <x:f>D22*12</x:f>
        <x:v>1202009.772</x:v>
      </x:c>
      <x:c r="E23" s="29"/>
      <x:c r="F23" s="29"/>
      <x:c r="G23" s="29"/>
      <x:c r="H23" s="29"/>
      <x:c r="I23" s="29"/>
    </x:row>
    <x:row r="24">
      <x:c r="A24" s="29" t="str">
        <x:v>Recurring revenue mix</x:v>
      </x:c>
      <x:c r="B24" s="67" t="n">
        <x:f>(B21-B10-B18)/B21</x:f>
        <x:v>0.6839627741415015</x:v>
      </x:c>
      <x:c r="C24" s="67" t="n">
        <x:f>(C21-C10-C18)/C21</x:f>
        <x:v>0.8440083583008298</x:v>
      </x:c>
      <x:c r="D24" s="67" t="n">
        <x:f>(D21-D10-D18)/D21</x:f>
        <x:v>0.8960379354212508</x:v>
      </x:c>
      <x:c r="E24" s="29"/>
      <x:c r="F24" s="29"/>
      <x:c r="G24" s="29"/>
      <x:c r="H24" s="29"/>
      <x:c r="I24" s="29"/>
    </x:row>
    <x:row r="25">
      <x:c r="A25" s="29" t="str">
        <x:v>Core share</x:v>
      </x:c>
      <x:c r="B25" s="67" t="n">
        <x:f>B11/B21</x:f>
        <x:v>0.5113482314390505</x:v>
      </x:c>
      <x:c r="C25" s="67" t="n">
        <x:f>C11/C21</x:f>
        <x:v>0.5174512336498919</x:v>
      </x:c>
      <x:c r="D25" s="67" t="n">
        <x:f>D11/D21</x:f>
        <x:v>0.5433232867914308</x:v>
      </x:c>
      <x:c r="E25" s="29"/>
      <x:c r="F25" s="29"/>
      <x:c r="G25" s="29"/>
      <x:c r="H25" s="29"/>
      <x:c r="I25" s="29"/>
    </x:row>
    <x:row r="26" ht="30" customHeight="1">
      <x:c r="A26" s="29" t="str">
        <x:v>Engage share</x:v>
      </x:c>
      <x:c r="B26" s="67" t="n">
        <x:f>B19/B21</x:f>
        <x:v>0.48865176856094944</x:v>
      </x:c>
      <x:c r="C26" s="67" t="n">
        <x:f>C19/C21</x:f>
        <x:v>0.4825487663501082</x:v>
      </x:c>
      <x:c r="D26" s="67" t="n">
        <x:f>D19/D21</x:f>
        <x:v>0.4566767132085692</x:v>
      </x:c>
      <x:c r="E26" s="29"/>
      <x:c r="F26" s="68" t="str">
        <x:v>Beta cash bookings are separate from recognized revenue. Commercial Y1 begins at GA, Beta cohorts roll forward once, and the 90% B2B retention rate remains a target until renewal evidence exists.</x:v>
      </x:c>
      <x:c r="G26" s="68" t="str">
        <x:v>Underwriting note: Paid Beta bookings are shown separately from recognized revenue. Commercial Y1 begins at GA. Beta customers roll into Y1 as opening cohorts and are never counted twice. B2B retention remains a disclosed 90% management target pending renewal evidence.</x:v>
      </x:c>
      <x:c r="H26" s="68" t="str">
        <x:v>Underwriting note: Paid Beta bookings are shown separately from recognized revenue. Commercial Y1 begins at GA. Beta customers roll into Y1 as opening cohorts and are never counted twice. B2B retention remains a disclosed 90% management target pending renewal evidence.</x:v>
      </x:c>
      <x:c r="I26" s="68" t="str">
        <x:v>Underwriting note: Paid Beta bookings are shown separately from recognized revenue. Commercial Y1 begins at GA. Beta customers roll into Y1 as opening cohorts and are never counted twice. B2B retention remains a disclosed 90% management target pending renewal evidence.</x:v>
      </x:c>
    </x:row>
    <x:row r="27" ht="30" customHeight="1">
      <x:c r="A27" s="29" t="str">
        <x:v>Gross profit</x:v>
      </x:c>
      <x:c r="B27" s="62" t="n">
        <x:f>SUM('Core Monthly'!U5:U16)+SUM('Engage Monthly'!U5:U16)</x:f>
        <x:v>64270.35</x:v>
      </x:c>
      <x:c r="C27" s="62" t="n">
        <x:f>SUM('Core Monthly'!U17:U28)+SUM('Engage Monthly'!U17:U28)</x:f>
        <x:v>223532.88066666666</x:v>
      </x:c>
      <x:c r="D27" s="62" t="n">
        <x:f>SUM('Core Monthly'!U29:U40)+SUM('Engage Monthly'!U29:U40)</x:f>
        <x:v>611960.6132</x:v>
      </x:c>
      <x:c r="E27" s="29"/>
      <x:c r="F27" s="68" t="str">
        <x:v>Underwriting note: Paid Beta bookings are shown separately from recognized revenue. Commercial Y1 begins at GA. Beta customers roll into Y1 as opening cohorts and are never counted twice. B2B retention remains a disclosed 90% management target pending renewal evidence.</x:v>
      </x:c>
      <x:c r="G27" s="68" t="str">
        <x:v>Underwriting note: Paid Beta bookings are shown separately from recognized revenue. Commercial Y1 begins at GA. Beta customers roll into Y1 as opening cohorts and are never counted twice. B2B retention remains a disclosed 90% management target pending renewal evidence.</x:v>
      </x:c>
      <x:c r="H27" s="68" t="str">
        <x:v>Underwriting note: Paid Beta bookings are shown separately from recognized revenue. Commercial Y1 begins at GA. Beta customers roll into Y1 as opening cohorts and are never counted twice. B2B retention remains a disclosed 90% management target pending renewal evidence.</x:v>
      </x:c>
      <x:c r="I27" s="68" t="str">
        <x:v>Underwriting note: Paid Beta bookings are shown separately from recognized revenue. Commercial Y1 begins at GA. Beta customers roll into Y1 as opening cohorts and are never counted twice. B2B retention remains a disclosed 90% management target pending renewal evidence.</x:v>
      </x:c>
    </x:row>
    <x:row r="28" ht="30" customHeight="1">
      <x:c r="A28" s="29" t="str">
        <x:v>Blended gross margin</x:v>
      </x:c>
      <x:c r="B28" s="67" t="n">
        <x:f>B27/B21</x:f>
        <x:v>0.534521661025125</x:v>
      </x:c>
      <x:c r="C28" s="67" t="n">
        <x:f>C27/C21</x:f>
        <x:v>0.6128165382941662</x:v>
      </x:c>
      <x:c r="D28" s="67" t="n">
        <x:f>D27/D21</x:f>
        <x:v>0.6488596510877037</x:v>
      </x:c>
      <x:c r="E28" s="29"/>
      <x:c r="F28" s="68" t="str">
        <x:v>Underwriting note: Paid Beta bookings are shown separately from recognized revenue. Commercial Y1 begins at GA. Beta customers roll into Y1 as opening cohorts and are never counted twice. B2B retention remains a disclosed 90% management target pending renewal evidence.</x:v>
      </x:c>
      <x:c r="G28" s="68" t="str">
        <x:v>Underwriting note: Paid Beta bookings are shown separately from recognized revenue. Commercial Y1 begins at GA. Beta customers roll into Y1 as opening cohorts and are never counted twice. B2B retention remains a disclosed 90% management target pending renewal evidence.</x:v>
      </x:c>
      <x:c r="H28" s="68" t="str">
        <x:v>Underwriting note: Paid Beta bookings are shown separately from recognized revenue. Commercial Y1 begins at GA. Beta customers roll into Y1 as opening cohorts and are never counted twice. B2B retention remains a disclosed 90% management target pending renewal evidence.</x:v>
      </x:c>
      <x:c r="I28" s="68" t="str">
        <x:v>Underwriting note: Paid Beta bookings are shown separately from recognized revenue. Commercial Y1 begins at GA. Beta customers roll into Y1 as opening cohorts and are never counted twice. B2B retention remains a disclosed 90% management target pending renewal evidence.</x:v>
      </x:c>
    </x:row>
    <x:row r="29">
      <x:c r="A29" s="29" t="str">
        <x:v>Model status</x:v>
      </x:c>
      <x:c r="B29" s="29" t="str">
        <x:f>IF(COUNTIF('Checks'!$E$5:$E$19,"FAIL")=0,"PASS","FAIL")</x:f>
        <x:v>PASS</x:v>
      </x:c>
      <x:c r="C29" s="29" t="str">
        <x:f>IF(COUNTIF('Checks'!$E$5:$E$19,"FAIL")=0,"PASS","FAIL")</x:f>
        <x:v>PASS</x:v>
      </x:c>
      <x:c r="D29" s="29" t="str">
        <x:f>IF(COUNTIF('Checks'!$E$5:$E$19,"FAIL")=0,"PASS","FAIL")</x:f>
        <x:v>PASS</x:v>
      </x:c>
      <x:c r="E29" s="29"/>
      <x:c r="F29" s="29"/>
      <x:c r="G29" s="29"/>
      <x:c r="H29" s="29"/>
      <x:c r="I29" s="29"/>
    </x:row>
    <x:row r="30" ht="27" customHeight="1">
      <x:c r="A30" s="22" t="str">
        <x:v>Scenario</x:v>
      </x:c>
      <x:c r="B30" s="22" t="str">
        <x:v>Y1</x:v>
      </x:c>
      <x:c r="C30" s="22" t="str">
        <x:v>Y2</x:v>
      </x:c>
      <x:c r="D30" s="22" t="str">
        <x:v>Y3</x:v>
      </x:c>
      <x:c r="E30" s="29"/>
      <x:c r="F30" s="29"/>
      <x:c r="G30" s="29"/>
      <x:c r="H30" s="29"/>
      <x:c r="I30" s="29"/>
    </x:row>
    <x:row r="31" ht="2" customHeight="1">
      <x:c r="A31" s="151" t="str">
        <x:f>'Scenarios'!A5</x:f>
        <x:v>Conservative</x:v>
      </x:c>
      <x:c r="B31" s="152" t="n">
        <x:f>'Scenarios'!B5</x:f>
        <x:v>83997.2</x:v>
      </x:c>
      <x:c r="C31" s="152" t="n">
        <x:f>'Scenarios'!C5</x:f>
        <x:v>266877.7766666666</x:v>
      </x:c>
      <x:c r="D31" s="152" t="n">
        <x:f>'Scenarios'!D5</x:f>
        <x:v>719471.6521</x:v>
      </x:c>
      <x:c r="E31" s="153"/>
      <x:c r="F31" s="153"/>
      <x:c r="G31" s="153"/>
      <x:c r="H31" s="153"/>
      <x:c r="I31" s="154"/>
    </x:row>
    <x:row r="32">
      <x:c r="A32" s="29" t="str">
        <x:f>'Scenarios'!A6</x:f>
        <x:v>Base</x:v>
      </x:c>
      <x:c r="B32" s="62" t="n">
        <x:f>'Scenarios'!B6</x:f>
        <x:v>120239</x:v>
      </x:c>
      <x:c r="C32" s="62" t="n">
        <x:f>'Scenarios'!C6</x:f>
        <x:v>364763.1333333333</x:v>
      </x:c>
      <x:c r="D32" s="62" t="n">
        <x:f>'Scenarios'!D6</x:f>
        <x:v>943132.482</x:v>
      </x:c>
      <x:c r="E32" s="29"/>
      <x:c r="F32" s="29"/>
      <x:c r="G32" s="29"/>
      <x:c r="H32" s="29"/>
      <x:c r="I32" s="29"/>
    </x:row>
    <x:row r="33">
      <x:c r="A33" s="86" t="str">
        <x:f>'Scenarios'!A7</x:f>
        <x:v>Marketing-backed</x:v>
      </x:c>
      <x:c r="B33" s="97" t="n">
        <x:f>'Scenarios'!B7</x:f>
        <x:v>143010</x:v>
      </x:c>
      <x:c r="C33" s="97" t="n">
        <x:f>'Scenarios'!C7</x:f>
        <x:v>448343.51666666666</x:v>
      </x:c>
      <x:c r="D33" s="97" t="n">
        <x:f>'Scenarios'!D7</x:f>
        <x:v>1197961.9614</x:v>
      </x:c>
      <x:c r="E33" s="29"/>
      <x:c r="F33" s="29"/>
      <x:c r="G33" s="29"/>
      <x:c r="H33" s="29"/>
      <x:c r="I33" s="29"/>
    </x:row>
    <x:row r="34" ht="2" customHeight="1">
      <x:c r="A34" s="161" t="str">
        <x:f>'Scenarios'!A8</x:f>
        <x:v>Upside</x:v>
      </x:c>
      <x:c r="B34" s="162" t="n">
        <x:f>'Scenarios'!B8</x:f>
        <x:v>155574.59</x:v>
      </x:c>
      <x:c r="C34" s="162" t="n">
        <x:f>'Scenarios'!C8</x:f>
        <x:v>494816.3022</x:v>
      </x:c>
      <x:c r="D34" s="162" t="n">
        <x:f>'Scenarios'!D8</x:f>
        <x:v>1333338.16806</x:v>
      </x:c>
      <x:c r="E34" s="163"/>
      <x:c r="F34" s="163"/>
      <x:c r="G34" s="163"/>
      <x:c r="H34" s="163"/>
      <x:c r="I34" s="164"/>
    </x:row>
  </x:sheetData>
  <x:mergeCells>
    <x:mergeCell ref="A1:I1"/>
    <x:mergeCell ref="A2:I2"/>
    <x:mergeCell ref="F26:I28"/>
  </x:mergeCells>
  <x:pageMargins left="0.7" right="0.7" top="0.75" bottom="0.75" header="0.3" footer="0.3"/>
  <x:drawing xmlns:r="http://schemas.openxmlformats.org/officeDocument/2006/relationships" r:id="Re0e71685d1f049b6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8" hidden="0" customWidth="1"/>
    <x:col min="3" max="3" width="16" hidden="0" customWidth="1"/>
    <x:col min="4" max="4" width="16" hidden="0" customWidth="1"/>
    <x:col min="5" max="5" width="1" hidden="0" customWidth="1"/>
    <x:col min="6" max="6" width="1" hidden="0" customWidth="1"/>
    <x:col min="7" max="7" width="14" hidden="0" customWidth="1"/>
    <x:col min="8" max="8" width="14" hidden="0" customWidth="1"/>
    <x:col min="9" max="9" width="14" hidden="0" customWidth="1"/>
    <x:col min="10" max="10" width="1" hidden="0" customWidth="1"/>
    <x:col min="11" max="11" width="1" hidden="0" customWidth="1"/>
    <x:col min="12" max="12" width="18" hidden="0" customWidth="1"/>
    <x:col min="13" max="13" width="18" hidden="0" customWidth="1"/>
    <x:col min="14" max="14" width="18" hidden="0" customWidth="1"/>
  </x:cols>
  <x:sheetData>
    <x:row r="1" ht="28" customHeight="1">
      <x:c r="A1" s="19" t="str">
        <x:v>Paid Beta Plan</x:v>
      </x:c>
      <x:c r="B1" s="19" t="str">
        <x:v>Paid Private Beta — Six-Month Underwriting</x:v>
      </x:c>
      <x:c r="C1" s="19" t="str">
        <x:v>Paid Private Beta — Six-Month Underwriting</x:v>
      </x:c>
      <x:c r="D1" s="19" t="str">
        <x:v>Paid Private Beta — Six-Month Underwriting</x:v>
      </x:c>
      <x:c r="E1" s="177" t="str">
        <x:v>Paid Private Beta — Six-Month Underwriting</x:v>
      </x:c>
      <x:c r="F1" s="178" t="str">
        <x:v>Paid Private Beta — Six-Month Underwriting</x:v>
      </x:c>
      <x:c r="G1" s="19" t="str">
        <x:v>Paid Private Beta — Six-Month Underwriting</x:v>
      </x:c>
      <x:c r="H1" s="19" t="str">
        <x:v>Paid Private Beta — Six-Month Underwriting</x:v>
      </x:c>
      <x:c r="I1" s="19" t="str">
        <x:v>Paid Private Beta — Six-Month Underwriting</x:v>
      </x:c>
      <x:c r="J1" s="177" t="str">
        <x:v>Paid Private Beta — Six-Month Underwriting</x:v>
      </x:c>
      <x:c r="K1" s="178" t="str">
        <x:v>Paid Private Beta — Six-Month Underwriting</x:v>
      </x:c>
      <x:c r="L1" s="19" t="str">
        <x:v>Paid Private Beta — Six-Month Underwriting</x:v>
      </x:c>
      <x:c r="M1" s="19" t="str">
        <x:v>Paid Private Beta — Six-Month Underwriting</x:v>
      </x:c>
      <x:c r="N1" s="19" t="str">
        <x:v>Paid Private Beta — Six-Month Underwriting</x:v>
      </x:c>
    </x:row>
    <x:row r="2" ht="25" customHeight="1">
      <x:c r="A2" s="20" t="str">
        <x:v>Six-month cohort plan, bookings, recognized revenue, and exit ARR</x:v>
      </x:c>
      <x:c r="B2" s="20" t="str">
        <x:v>Recruit now, release access mid-Oct 2026, model six full months Nov 2026–Apr 2027, then commercial GA in May 2027.</x:v>
      </x:c>
      <x:c r="C2" s="20" t="str">
        <x:v>Recruit now, release access mid-Oct 2026, model six full months Nov 2026–Apr 2027, then commercial GA in May 2027.</x:v>
      </x:c>
      <x:c r="D2" s="20" t="str">
        <x:v>Recruit now, release access mid-Oct 2026, model six full months Nov 2026–Apr 2027, then commercial GA in May 2027.</x:v>
      </x:c>
      <x:c r="E2" s="179" t="str">
        <x:v>Recruit now, release access mid-Oct 2026, model six full months Nov 2026–Apr 2027, then commercial GA in May 2027.</x:v>
      </x:c>
      <x:c r="F2" s="180" t="str">
        <x:v>Recruit now, release access mid-Oct 2026, model six full months Nov 2026–Apr 2027, then commercial GA in May 2027.</x:v>
      </x:c>
      <x:c r="G2" s="20" t="str">
        <x:v>Recruit now, release access mid-Oct 2026, model six full months Nov 2026–Apr 2027, then commercial GA in May 2027.</x:v>
      </x:c>
      <x:c r="H2" s="20" t="str">
        <x:v>Recruit now, release access mid-Oct 2026, model six full months Nov 2026–Apr 2027, then commercial GA in May 2027.</x:v>
      </x:c>
      <x:c r="I2" s="20" t="str">
        <x:v>Recruit now, release access mid-Oct 2026, model six full months Nov 2026–Apr 2027, then commercial GA in May 2027.</x:v>
      </x:c>
      <x:c r="J2" s="179" t="str">
        <x:v>Recruit now, release access mid-Oct 2026, model six full months Nov 2026–Apr 2027, then commercial GA in May 2027.</x:v>
      </x:c>
      <x:c r="K2" s="180" t="str">
        <x:v>Recruit now, release access mid-Oct 2026, model six full months Nov 2026–Apr 2027, then commercial GA in May 2027.</x:v>
      </x:c>
      <x:c r="L2" s="20" t="str">
        <x:v>Recruit now, release access mid-Oct 2026, model six full months Nov 2026–Apr 2027, then commercial GA in May 2027.</x:v>
      </x:c>
      <x:c r="M2" s="20" t="str">
        <x:v>Recruit now, release access mid-Oct 2026, model six full months Nov 2026–Apr 2027, then commercial GA in May 2027.</x:v>
      </x:c>
      <x:c r="N2" s="20" t="str">
        <x:v>Recruit now, release access mid-Oct 2026, model six full months Nov 2026–Apr 2027, then commercial GA in May 2027.</x:v>
      </x:c>
    </x:row>
    <x:row r="3">
      <x:c r="A3" s="29"/>
      <x:c r="B3" s="29"/>
      <x:c r="C3" s="29"/>
      <x:c r="D3" s="29"/>
      <x:c r="E3" s="141"/>
      <x:c r="F3" s="145"/>
      <x:c r="G3" s="29"/>
      <x:c r="H3" s="29"/>
      <x:c r="I3" s="29"/>
      <x:c r="J3" s="141"/>
      <x:c r="K3" s="145"/>
      <x:c r="L3" s="29"/>
      <x:c r="M3" s="29"/>
      <x:c r="N3" s="29"/>
    </x:row>
    <x:row r="4" ht="27" customHeight="1">
      <x:c r="A4" s="22" t="str">
        <x:v>Month</x:v>
      </x:c>
      <x:c r="B4" s="22" t="str">
        <x:v>Phase</x:v>
      </x:c>
      <x:c r="C4" s="22" t="str">
        <x:v>New individuals</x:v>
      </x:c>
      <x:c r="D4" s="22" t="str">
        <x:v>Active individuals</x:v>
      </x:c>
      <x:c r="E4" s="181" t="str">
        <x:v>Individual bookings</x:v>
      </x:c>
      <x:c r="F4" s="182" t="str">
        <x:v>Individual revenue</x:v>
      </x:c>
      <x:c r="G4" s="22" t="str">
        <x:v>New teams</x:v>
      </x:c>
      <x:c r="H4" s="22" t="str">
        <x:v>Active teams</x:v>
      </x:c>
      <x:c r="I4" s="22" t="str">
        <x:v>Seats / team</x:v>
      </x:c>
      <x:c r="J4" s="181" t="str">
        <x:v>Team bookings</x:v>
      </x:c>
      <x:c r="K4" s="182" t="str">
        <x:v>Team revenue</x:v>
      </x:c>
      <x:c r="L4" s="22" t="str">
        <x:v>Cash bookings</x:v>
      </x:c>
      <x:c r="M4" s="22" t="str">
        <x:v>Recognized revenue</x:v>
      </x:c>
      <x:c r="N4" s="22" t="str">
        <x:v>Exit ARR</x:v>
      </x:c>
    </x:row>
    <x:row r="5">
      <x:c r="A5" s="74" t="n">
        <x:v>46327</x:v>
      </x:c>
      <x:c r="B5" s="29" t="str">
        <x:v>Build + validate</x:v>
      </x:c>
      <x:c r="C5" s="75" t="n">
        <x:f>'Assumptions'!$B$8</x:f>
        <x:v>12</x:v>
      </x:c>
      <x:c r="D5" s="75" t="n">
        <x:f>C5</x:f>
        <x:v>12</x:v>
      </x:c>
      <x:c r="E5" s="183" t="n">
        <x:f>C5*'Assumptions'!$B$10</x:f>
        <x:v>2280</x:v>
      </x:c>
      <x:c r="F5" s="184" t="n">
        <x:f>D5*'Assumptions'!$B$10/12</x:f>
        <x:v>190</x:v>
      </x:c>
      <x:c r="G5" s="75" t="n">
        <x:f>'Assumptions'!$B$11</x:f>
        <x:v>2</x:v>
      </x:c>
      <x:c r="H5" s="75" t="n">
        <x:f>G5</x:f>
        <x:v>2</x:v>
      </x:c>
      <x:c r="I5" s="75" t="n">
        <x:f>'Assumptions'!$B$13</x:f>
        <x:v>3</x:v>
      </x:c>
      <x:c r="J5" s="183" t="n">
        <x:f>G5*I5*'Assumptions'!$B$14</x:f>
        <x:v>1440</x:v>
      </x:c>
      <x:c r="K5" s="184" t="n">
        <x:f>H5*I5*'Assumptions'!$B$14/12</x:f>
        <x:v>120</x:v>
      </x:c>
      <x:c r="L5" s="76" t="n">
        <x:f>E5+J5</x:f>
        <x:v>3720</x:v>
      </x:c>
      <x:c r="M5" s="76" t="n">
        <x:f>F5+K5</x:f>
        <x:v>310</x:v>
      </x:c>
      <x:c r="N5" s="76" t="n">
        <x:f>D5*'Assumptions'!$B$10+H5*I5*'Assumptions'!$B$14</x:f>
        <x:v>3720</x:v>
      </x:c>
    </x:row>
    <x:row r="6">
      <x:c r="A6" s="74" t="n">
        <x:v>46357</x:v>
      </x:c>
      <x:c r="B6" s="29" t="str">
        <x:v>Build + validate</x:v>
      </x:c>
      <x:c r="C6" s="75" t="n">
        <x:f>0</x:f>
        <x:v>0</x:v>
      </x:c>
      <x:c r="D6" s="75" t="n">
        <x:f>D5+C6</x:f>
        <x:v>12</x:v>
      </x:c>
      <x:c r="E6" s="183" t="n">
        <x:f>C6*'Assumptions'!$B$10</x:f>
        <x:v>0</x:v>
      </x:c>
      <x:c r="F6" s="184" t="n">
        <x:f>D6*'Assumptions'!$B$10/12</x:f>
        <x:v>190</x:v>
      </x:c>
      <x:c r="G6" s="75" t="n">
        <x:f>0</x:f>
        <x:v>0</x:v>
      </x:c>
      <x:c r="H6" s="75" t="n">
        <x:f>H5+G6</x:f>
        <x:v>2</x:v>
      </x:c>
      <x:c r="I6" s="75" t="n">
        <x:f>'Assumptions'!$B$13</x:f>
        <x:v>3</x:v>
      </x:c>
      <x:c r="J6" s="183" t="n">
        <x:f>G6*I6*'Assumptions'!$B$14</x:f>
        <x:v>0</x:v>
      </x:c>
      <x:c r="K6" s="184" t="n">
        <x:f>H6*I6*'Assumptions'!$B$14/12</x:f>
        <x:v>120</x:v>
      </x:c>
      <x:c r="L6" s="76" t="n">
        <x:f>E6+J6</x:f>
        <x:v>0</x:v>
      </x:c>
      <x:c r="M6" s="76" t="n">
        <x:f>F6+K6</x:f>
        <x:v>310</x:v>
      </x:c>
      <x:c r="N6" s="76" t="n">
        <x:f>D6*'Assumptions'!$B$10+H6*I6*'Assumptions'!$B$14</x:f>
        <x:v>3720</x:v>
      </x:c>
    </x:row>
    <x:row r="7">
      <x:c r="A7" s="74" t="n">
        <x:v>46388</x:v>
      </x:c>
      <x:c r="B7" s="29" t="str">
        <x:v>Build + validate</x:v>
      </x:c>
      <x:c r="C7" s="75" t="n">
        <x:f>0</x:f>
        <x:v>0</x:v>
      </x:c>
      <x:c r="D7" s="75" t="n">
        <x:f>D6+C7</x:f>
        <x:v>12</x:v>
      </x:c>
      <x:c r="E7" s="183" t="n">
        <x:f>C7*'Assumptions'!$B$10</x:f>
        <x:v>0</x:v>
      </x:c>
      <x:c r="F7" s="184" t="n">
        <x:f>D7*'Assumptions'!$B$10/12</x:f>
        <x:v>190</x:v>
      </x:c>
      <x:c r="G7" s="75" t="n">
        <x:f>0</x:f>
        <x:v>0</x:v>
      </x:c>
      <x:c r="H7" s="75" t="n">
        <x:f>H6+G7</x:f>
        <x:v>2</x:v>
      </x:c>
      <x:c r="I7" s="75" t="n">
        <x:f>'Assumptions'!$B$13</x:f>
        <x:v>3</x:v>
      </x:c>
      <x:c r="J7" s="183" t="n">
        <x:f>G7*I7*'Assumptions'!$B$14</x:f>
        <x:v>0</x:v>
      </x:c>
      <x:c r="K7" s="184" t="n">
        <x:f>H7*I7*'Assumptions'!$B$14/12</x:f>
        <x:v>120</x:v>
      </x:c>
      <x:c r="L7" s="76" t="n">
        <x:f>E7+J7</x:f>
        <x:v>0</x:v>
      </x:c>
      <x:c r="M7" s="76" t="n">
        <x:f>F7+K7</x:f>
        <x:v>310</x:v>
      </x:c>
      <x:c r="N7" s="76" t="n">
        <x:f>D7*'Assumptions'!$B$10+H7*I7*'Assumptions'!$B$14</x:f>
        <x:v>3720</x:v>
      </x:c>
    </x:row>
    <x:row r="8">
      <x:c r="A8" s="74" t="n">
        <x:v>46419</x:v>
      </x:c>
      <x:c r="B8" s="29" t="str">
        <x:v>Build + validate</x:v>
      </x:c>
      <x:c r="C8" s="75" t="n">
        <x:f>0</x:f>
        <x:v>0</x:v>
      </x:c>
      <x:c r="D8" s="75" t="n">
        <x:f>D7+C8</x:f>
        <x:v>12</x:v>
      </x:c>
      <x:c r="E8" s="183" t="n">
        <x:f>C8*'Assumptions'!$B$10</x:f>
        <x:v>0</x:v>
      </x:c>
      <x:c r="F8" s="184" t="n">
        <x:f>D8*'Assumptions'!$B$10/12</x:f>
        <x:v>190</x:v>
      </x:c>
      <x:c r="G8" s="75" t="n">
        <x:f>0</x:f>
        <x:v>0</x:v>
      </x:c>
      <x:c r="H8" s="75" t="n">
        <x:f>H7+G8</x:f>
        <x:v>2</x:v>
      </x:c>
      <x:c r="I8" s="75" t="n">
        <x:f>'Assumptions'!$B$13</x:f>
        <x:v>3</x:v>
      </x:c>
      <x:c r="J8" s="183" t="n">
        <x:f>G8*I8*'Assumptions'!$B$14</x:f>
        <x:v>0</x:v>
      </x:c>
      <x:c r="K8" s="184" t="n">
        <x:f>H8*I8*'Assumptions'!$B$14/12</x:f>
        <x:v>120</x:v>
      </x:c>
      <x:c r="L8" s="76" t="n">
        <x:f>E8+J8</x:f>
        <x:v>0</x:v>
      </x:c>
      <x:c r="M8" s="76" t="n">
        <x:f>F8+K8</x:f>
        <x:v>310</x:v>
      </x:c>
      <x:c r="N8" s="76" t="n">
        <x:f>D8*'Assumptions'!$B$10+H8*I8*'Assumptions'!$B$14</x:f>
        <x:v>3720</x:v>
      </x:c>
    </x:row>
    <x:row r="9">
      <x:c r="A9" s="74" t="n">
        <x:v>46447</x:v>
      </x:c>
      <x:c r="B9" s="29" t="str">
        <x:v>Expand individuals</x:v>
      </x:c>
      <x:c r="C9" s="75" t="n">
        <x:f>'Assumptions'!$B$9</x:f>
        <x:v>18</x:v>
      </x:c>
      <x:c r="D9" s="75" t="n">
        <x:f>D8+C9</x:f>
        <x:v>30</x:v>
      </x:c>
      <x:c r="E9" s="183" t="n">
        <x:f>C9*'Assumptions'!$B$10</x:f>
        <x:v>3420</x:v>
      </x:c>
      <x:c r="F9" s="184" t="n">
        <x:f>D9*'Assumptions'!$B$10/12</x:f>
        <x:v>475</x:v>
      </x:c>
      <x:c r="G9" s="75" t="n">
        <x:f>'Assumptions'!$B$12</x:f>
        <x:v>0</x:v>
      </x:c>
      <x:c r="H9" s="75" t="n">
        <x:f>H8+G9</x:f>
        <x:v>2</x:v>
      </x:c>
      <x:c r="I9" s="75" t="n">
        <x:f>'Assumptions'!$B$13</x:f>
        <x:v>3</x:v>
      </x:c>
      <x:c r="J9" s="183" t="n">
        <x:f>G9*I9*'Assumptions'!$B$14</x:f>
        <x:v>0</x:v>
      </x:c>
      <x:c r="K9" s="184" t="n">
        <x:f>H9*I9*'Assumptions'!$B$14/12</x:f>
        <x:v>120</x:v>
      </x:c>
      <x:c r="L9" s="76" t="n">
        <x:f>E9+J9</x:f>
        <x:v>3420</x:v>
      </x:c>
      <x:c r="M9" s="76" t="n">
        <x:f>F9+K9</x:f>
        <x:v>595</x:v>
      </x:c>
      <x:c r="N9" s="76" t="n">
        <x:f>D9*'Assumptions'!$B$10+H9*I9*'Assumptions'!$B$14</x:f>
        <x:v>7140</x:v>
      </x:c>
    </x:row>
    <x:row r="10">
      <x:c r="A10" s="74" t="n">
        <x:v>46478</x:v>
      </x:c>
      <x:c r="B10" s="29" t="str">
        <x:v>Expand individuals</x:v>
      </x:c>
      <x:c r="C10" s="75" t="n">
        <x:f>0</x:f>
        <x:v>0</x:v>
      </x:c>
      <x:c r="D10" s="75" t="n">
        <x:f>D9+C10</x:f>
        <x:v>30</x:v>
      </x:c>
      <x:c r="E10" s="183" t="n">
        <x:f>C10*'Assumptions'!$B$10</x:f>
        <x:v>0</x:v>
      </x:c>
      <x:c r="F10" s="184" t="n">
        <x:f>D10*'Assumptions'!$B$10/12</x:f>
        <x:v>475</x:v>
      </x:c>
      <x:c r="G10" s="75" t="n">
        <x:f>0</x:f>
        <x:v>0</x:v>
      </x:c>
      <x:c r="H10" s="75" t="n">
        <x:f>H9+G10</x:f>
        <x:v>2</x:v>
      </x:c>
      <x:c r="I10" s="75" t="n">
        <x:f>'Assumptions'!$B$13</x:f>
        <x:v>3</x:v>
      </x:c>
      <x:c r="J10" s="183" t="n">
        <x:f>G10*I10*'Assumptions'!$B$14</x:f>
        <x:v>0</x:v>
      </x:c>
      <x:c r="K10" s="184" t="n">
        <x:f>H10*I10*'Assumptions'!$B$14/12</x:f>
        <x:v>120</x:v>
      </x:c>
      <x:c r="L10" s="76" t="n">
        <x:f>E10+J10</x:f>
        <x:v>0</x:v>
      </x:c>
      <x:c r="M10" s="76" t="n">
        <x:f>F10+K10</x:f>
        <x:v>595</x:v>
      </x:c>
      <x:c r="N10" s="76" t="n">
        <x:f>D10*'Assumptions'!$B$10+H10*I10*'Assumptions'!$B$14</x:f>
        <x:v>7140</x:v>
      </x:c>
    </x:row>
    <x:row r="11">
      <x:c r="A11" s="29"/>
      <x:c r="B11" s="29"/>
      <x:c r="C11" s="75"/>
      <x:c r="D11" s="75"/>
      <x:c r="E11" s="183"/>
      <x:c r="F11" s="184"/>
      <x:c r="G11" s="75"/>
      <x:c r="H11" s="75"/>
      <x:c r="I11" s="75"/>
      <x:c r="J11" s="183"/>
      <x:c r="K11" s="184"/>
      <x:c r="L11" s="76"/>
      <x:c r="M11" s="76"/>
      <x:c r="N11" s="76"/>
    </x:row>
    <x:row r="12">
      <x:c r="A12" s="65" t="str">
        <x:v>BETA TOTAL</x:v>
      </x:c>
      <x:c r="B12" s="65"/>
      <x:c r="C12" s="77"/>
      <x:c r="D12" s="77"/>
      <x:c r="E12" s="185" t="n">
        <x:f>SUM(E5:E10)</x:f>
        <x:v>5700</x:v>
      </x:c>
      <x:c r="F12" s="186" t="n">
        <x:f>SUM(F5:F10)</x:f>
        <x:v>1710</x:v>
      </x:c>
      <x:c r="G12" s="77"/>
      <x:c r="H12" s="77"/>
      <x:c r="I12" s="77"/>
      <x:c r="J12" s="185" t="n">
        <x:f>SUM(J5:J10)</x:f>
        <x:v>1440</x:v>
      </x:c>
      <x:c r="K12" s="186" t="n">
        <x:f>SUM(K5:K10)</x:f>
        <x:v>720</x:v>
      </x:c>
      <x:c r="L12" s="78" t="n">
        <x:f>SUM(L5:L10)</x:f>
        <x:v>7140</x:v>
      </x:c>
      <x:c r="M12" s="78" t="n">
        <x:f>SUM(M5:M10)</x:f>
        <x:v>2430</x:v>
      </x:c>
      <x:c r="N12" s="78" t="n">
        <x:f>N10</x:f>
        <x:v>7140</x:v>
      </x:c>
    </x:row>
    <x:row r="13">
      <x:c r="A13" s="29"/>
      <x:c r="B13" s="29"/>
      <x:c r="C13" s="29"/>
      <x:c r="D13" s="29"/>
      <x:c r="E13" s="141"/>
      <x:c r="F13" s="145"/>
      <x:c r="G13" s="29"/>
      <x:c r="H13" s="29"/>
      <x:c r="I13" s="29"/>
      <x:c r="J13" s="141"/>
      <x:c r="K13" s="145"/>
      <x:c r="L13" s="29"/>
      <x:c r="M13" s="29"/>
      <x:c r="N13" s="29"/>
    </x:row>
    <x:row r="14" ht="40" customHeight="1">
      <x:c r="A14" s="68" t="str">
        <x:v>Annual plans are collected upfront and recognized monthly. Beta customers enter Commercial Y1 as opening cohorts, not new acquisition.</x:v>
      </x:c>
      <x:c r="B14" s="68" t="str">
        <x:v>Accounting note: annual subscriptions are bookings/cash when collected, but revenue is recognized ratably. Beta customers enter Commercial Year 1 as opening cohorts and are not counted again as new acquisition.</x:v>
      </x:c>
      <x:c r="C14" s="68" t="str">
        <x:v>Accounting note: annual subscriptions are bookings/cash when collected, but revenue is recognized ratably. Beta customers enter Commercial Year 1 as opening cohorts and are not counted again as new acquisition.</x:v>
      </x:c>
      <x:c r="D14" s="68" t="str">
        <x:v>Accounting note: annual subscriptions are bookings/cash when collected, but revenue is recognized ratably. Beta customers enter Commercial Year 1 as opening cohorts and are not counted again as new acquisition.</x:v>
      </x:c>
      <x:c r="E14" s="187" t="str">
        <x:v>Accounting note: annual subscriptions are bookings/cash when collected, but revenue is recognized ratably. Beta customers enter Commercial Year 1 as opening cohorts and are not counted again as new acquisition.</x:v>
      </x:c>
      <x:c r="F14" s="188" t="str">
        <x:v>Accounting note: annual subscriptions are bookings/cash when collected, but revenue is recognized ratably. Beta customers enter Commercial Year 1 as opening cohorts and are not counted again as new acquisition.</x:v>
      </x:c>
      <x:c r="G14" s="68" t="str">
        <x:v>Accounting note: annual subscriptions are bookings/cash when collected, but revenue is recognized ratably. Beta customers enter Commercial Year 1 as opening cohorts and are not counted again as new acquisition.</x:v>
      </x:c>
      <x:c r="H14" s="68" t="str">
        <x:v>Accounting note: annual subscriptions are bookings/cash when collected, but revenue is recognized ratably. Beta customers enter Commercial Year 1 as opening cohorts and are not counted again as new acquisition.</x:v>
      </x:c>
      <x:c r="I14" s="68" t="str">
        <x:v>Accounting note: annual subscriptions are bookings/cash when collected, but revenue is recognized ratably. Beta customers enter Commercial Year 1 as opening cohorts and are not counted again as new acquisition.</x:v>
      </x:c>
      <x:c r="J14" s="187" t="str">
        <x:v>Accounting note: annual subscriptions are bookings/cash when collected, but revenue is recognized ratably. Beta customers enter Commercial Year 1 as opening cohorts and are not counted again as new acquisition.</x:v>
      </x:c>
      <x:c r="K14" s="188" t="str">
        <x:v>Accounting note: annual subscriptions are bookings/cash when collected, but revenue is recognized ratably. Beta customers enter Commercial Year 1 as opening cohorts and are not counted again as new acquisition.</x:v>
      </x:c>
      <x:c r="L14" s="68" t="str">
        <x:v>Accounting note: annual subscriptions are bookings/cash when collected, but revenue is recognized ratably. Beta customers enter Commercial Year 1 as opening cohorts and are not counted again as new acquisition.</x:v>
      </x:c>
      <x:c r="M14" s="68" t="str">
        <x:v>Accounting note: annual subscriptions are bookings/cash when collected, but revenue is recognized ratably. Beta customers enter Commercial Year 1 as opening cohorts and are not counted again as new acquisition.</x:v>
      </x:c>
      <x:c r="N14" s="68" t="str">
        <x:v>Accounting note: annual subscriptions are bookings/cash when collected, but revenue is recognized ratably. Beta customers enter Commercial Year 1 as opening cohorts and are not counted again as new acquisition.</x:v>
      </x:c>
    </x:row>
  </x:sheetData>
  <x:mergeCells>
    <x:mergeCell ref="A1:N1"/>
    <x:mergeCell ref="A2:N2"/>
    <x:mergeCell ref="A14:N1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13" hidden="0" customWidth="1"/>
    <x:col min="3" max="3" width="13" hidden="0" customWidth="1"/>
    <x:col min="4" max="4" width="13" hidden="0" customWidth="1"/>
    <x:col min="5" max="5" width="17" hidden="0" customWidth="1"/>
    <x:col min="6" max="6" width="1" hidden="0" customWidth="1"/>
    <x:col min="7" max="7" width="21" hidden="0" customWidth="1"/>
    <x:col min="8" max="8" width="1" hidden="0" customWidth="1"/>
  </x:cols>
  <x:sheetData>
    <x:row r="1" ht="28" customHeight="1">
      <x:c r="A1" s="19" t="str">
        <x:v>Key Model Assumptions</x:v>
      </x:c>
      <x:c r="B1" s="19" t="str">
        <x:v>MIMAR Revenue Model — Defensible Assumptions</x:v>
      </x:c>
      <x:c r="C1" s="19" t="str">
        <x:v>MIMAR Revenue Model — Defensible Assumptions</x:v>
      </x:c>
      <x:c r="D1" s="19" t="str">
        <x:v>MIMAR Revenue Model — Defensible Assumptions</x:v>
      </x:c>
      <x:c r="E1" s="19" t="str">
        <x:v>MIMAR Revenue Model — Defensible Assumptions</x:v>
      </x:c>
      <x:c r="F1" s="189" t="str">
        <x:v>MIMAR Revenue Model — Defensible Assumptions</x:v>
      </x:c>
      <x:c r="G1" s="19" t="str">
        <x:v>MIMAR Revenue Model — Defensible Assumptions</x:v>
      </x:c>
      <x:c r="H1" s="189" t="str">
        <x:v>MIMAR Revenue Model — Defensible Assumptions</x:v>
      </x:c>
    </x:row>
    <x:row r="2" ht="25" customHeight="1">
      <x:c r="A2" s="20" t="str">
        <x:v>Commercial inputs and current validation status. Evidence and rationale remain in the supporting columns.</x:v>
      </x:c>
      <x:c r="B2" s="20" t="str">
        <x:v>Paid Beta precedes a 36-month commercial forecast. Blue cells are editable; formulas roll from these drivers.</x:v>
      </x:c>
      <x:c r="C2" s="20" t="str">
        <x:v>Paid Beta precedes a 36-month commercial forecast. Blue cells are editable; formulas roll from these drivers.</x:v>
      </x:c>
      <x:c r="D2" s="20" t="str">
        <x:v>Paid Beta precedes a 36-month commercial forecast. Blue cells are editable; formulas roll from these drivers.</x:v>
      </x:c>
      <x:c r="E2" s="20" t="str">
        <x:v>Paid Beta precedes a 36-month commercial forecast. Blue cells are editable; formulas roll from these drivers.</x:v>
      </x:c>
      <x:c r="F2" s="190" t="str">
        <x:v>Paid Beta precedes a 36-month commercial forecast. Blue cells are editable; formulas roll from these drivers.</x:v>
      </x:c>
      <x:c r="G2" s="20" t="str">
        <x:v>Paid Beta precedes a 36-month commercial forecast. Blue cells are editable; formulas roll from these drivers.</x:v>
      </x:c>
      <x:c r="H2" s="190" t="str">
        <x:v>Paid Beta precedes a 36-month commercial forecast. Blue cells are editable; formulas roll from these drivers.</x:v>
      </x:c>
    </x:row>
    <x:row r="3">
      <x:c r="A3" s="29"/>
      <x:c r="B3" s="29"/>
      <x:c r="C3" s="29"/>
      <x:c r="D3" s="29"/>
      <x:c r="E3" s="29"/>
      <x:c r="F3" s="191"/>
      <x:c r="G3" s="29"/>
      <x:c r="H3" s="191"/>
    </x:row>
    <x:row r="4" ht="27" customHeight="1">
      <x:c r="A4" s="22" t="str">
        <x:v>Driver</x:v>
      </x:c>
      <x:c r="B4" s="22" t="str">
        <x:v>Y1 / Value</x:v>
      </x:c>
      <x:c r="C4" s="22" t="str">
        <x:v>Y2</x:v>
      </x:c>
      <x:c r="D4" s="22" t="str">
        <x:v>Y3</x:v>
      </x:c>
      <x:c r="E4" s="22" t="str">
        <x:v>Unit</x:v>
      </x:c>
      <x:c r="F4" s="192" t="str">
        <x:v>Evidence type</x:v>
      </x:c>
      <x:c r="G4" s="22" t="str">
        <x:v>Validation status</x:v>
      </x:c>
      <x:c r="H4" s="192" t="str">
        <x:v>Source / rationale</x:v>
      </x:c>
    </x:row>
    <x:row r="5" ht="22" customHeight="1">
      <x:c r="A5" s="30" t="str">
        <x:v>BETA — access start</x:v>
      </x:c>
      <x:c r="B5" s="31" t="n">
        <x:v>46327</x:v>
      </x:c>
      <x:c r="C5" s="32"/>
      <x:c r="D5" s="32"/>
      <x:c r="E5" s="29" t="str">
        <x:v>date</x:v>
      </x:c>
      <x:c r="F5" s="191" t="str">
        <x:v>Management plan</x:v>
      </x:c>
      <x:c r="G5" s="29" t="str">
        <x:v>Scheduling</x:v>
      </x:c>
      <x:c r="H5" s="196" t="str">
        <x:v>Mid-Oct operational target; monthly model begins Nov 2026</x:v>
      </x:c>
    </x:row>
    <x:row r="6" ht="22" customHeight="1">
      <x:c r="A6" s="30" t="str">
        <x:v>BETA — commercial GA</x:v>
      </x:c>
      <x:c r="B6" s="31" t="n">
        <x:v>46508</x:v>
      </x:c>
      <x:c r="C6" s="32"/>
      <x:c r="D6" s="32"/>
      <x:c r="E6" s="29" t="str">
        <x:v>date</x:v>
      </x:c>
      <x:c r="F6" s="191" t="str">
        <x:v>Management plan</x:v>
      </x:c>
      <x:c r="G6" s="29" t="str">
        <x:v>Scheduling</x:v>
      </x:c>
      <x:c r="H6" s="196" t="str">
        <x:v>Six full modeled Beta months, then commercial launch</x:v>
      </x:c>
    </x:row>
    <x:row r="7" ht="22" customHeight="1">
      <x:c r="A7" s="30" t="str">
        <x:v>BETA — duration</x:v>
      </x:c>
      <x:c r="B7" s="32" t="n">
        <x:v>6</x:v>
      </x:c>
      <x:c r="C7" s="32"/>
      <x:c r="D7" s="32"/>
      <x:c r="E7" s="29" t="str">
        <x:v>months</x:v>
      </x:c>
      <x:c r="F7" s="191" t="str">
        <x:v>Management plan</x:v>
      </x:c>
      <x:c r="G7" s="29" t="str">
        <x:v>Defined</x:v>
      </x:c>
      <x:c r="H7" s="196" t="str">
        <x:v>Private Beta development and validation window</x:v>
      </x:c>
    </x:row>
    <x:row r="8" ht="22" customHeight="1">
      <x:c r="A8" s="30" t="str">
        <x:v>BETA — individual cohort A</x:v>
      </x:c>
      <x:c r="B8" s="32" t="n">
        <x:v>12</x:v>
      </x:c>
      <x:c r="C8" s="32"/>
      <x:c r="D8" s="32"/>
      <x:c r="E8" s="29" t="str">
        <x:v>users</x:v>
      </x:c>
      <x:c r="F8" s="191" t="str">
        <x:v>Management target</x:v>
      </x:c>
      <x:c r="G8" s="29" t="str">
        <x:v>Closing now</x:v>
      </x:c>
      <x:c r="H8" s="196" t="str">
        <x:v>Active during Beta months 1–4 and thereafter</x:v>
      </x:c>
    </x:row>
    <x:row r="9" ht="22" customHeight="1">
      <x:c r="A9" s="30" t="str">
        <x:v>BETA — additional individual cohort B</x:v>
      </x:c>
      <x:c r="B9" s="32" t="n">
        <x:v>18</x:v>
      </x:c>
      <x:c r="C9" s="32"/>
      <x:c r="D9" s="32"/>
      <x:c r="E9" s="29" t="str">
        <x:v>users</x:v>
      </x:c>
      <x:c r="F9" s="191" t="str">
        <x:v>Management target</x:v>
      </x:c>
      <x:c r="G9" s="29" t="str">
        <x:v>Recruit in Beta</x:v>
      </x:c>
      <x:c r="H9" s="196" t="str">
        <x:v>Added in Beta month 5; 30 total at Beta exit</x:v>
      </x:c>
    </x:row>
    <x:row r="10" ht="22" customHeight="1">
      <x:c r="A10" s="30" t="str">
        <x:v>BETA — individual annual price</x:v>
      </x:c>
      <x:c r="B10" s="33" t="n">
        <x:v>190</x:v>
      </x:c>
      <x:c r="C10" s="33"/>
      <x:c r="D10" s="33"/>
      <x:c r="E10" s="29" t="str">
        <x:v>$/user/year</x:v>
      </x:c>
      <x:c r="F10" s="191" t="str">
        <x:v>Founder price</x:v>
      </x:c>
      <x:c r="G10" s="29" t="str">
        <x:v>Management decision</x:v>
      </x:c>
      <x:c r="H10" s="196" t="str">
        <x:v>Annual Pro price supplied by management</x:v>
      </x:c>
    </x:row>
    <x:row r="11" ht="22" customHeight="1">
      <x:c r="A11" s="30" t="str">
        <x:v>BETA — team cohort A</x:v>
      </x:c>
      <x:c r="B11" s="32" t="n">
        <x:v>2</x:v>
      </x:c>
      <x:c r="C11" s="32"/>
      <x:c r="D11" s="32"/>
      <x:c r="E11" s="29" t="str">
        <x:v>workspaces</x:v>
      </x:c>
      <x:c r="F11" s="191" t="str">
        <x:v>Management target</x:v>
      </x:c>
      <x:c r="G11" s="29" t="str">
        <x:v>Closing now</x:v>
      </x:c>
      <x:c r="H11" s="196" t="str">
        <x:v>First two team workspaces</x:v>
      </x:c>
    </x:row>
    <x:row r="12" ht="22" customHeight="1">
      <x:c r="A12" s="30" t="str">
        <x:v>BETA — additional team cohort B</x:v>
      </x:c>
      <x:c r="B12" s="32" t="n">
        <x:v>0</x:v>
      </x:c>
      <x:c r="C12" s="32"/>
      <x:c r="D12" s="32"/>
      <x:c r="E12" s="29" t="str">
        <x:v>workspaces</x:v>
      </x:c>
      <x:c r="F12" s="191" t="str">
        <x:v>Management target</x:v>
      </x:c>
      <x:c r="G12" s="29" t="str">
        <x:v>Not targeted</x:v>
      </x:c>
      <x:c r="H12" s="196" t="str">
        <x:v>Team Beta target is two founding Team Pro workspaces.</x:v>
      </x:c>
    </x:row>
    <x:row r="13" ht="22" customHeight="1">
      <x:c r="A13" s="30" t="str">
        <x:v>BETA — paid seats per team</x:v>
      </x:c>
      <x:c r="B13" s="32" t="n">
        <x:v>3</x:v>
      </x:c>
      <x:c r="C13" s="32"/>
      <x:c r="D13" s="32"/>
      <x:c r="E13" s="29" t="str">
        <x:v>seats/workspace</x:v>
      </x:c>
      <x:c r="F13" s="191" t="str">
        <x:v>Pricing assumption</x:v>
      </x:c>
      <x:c r="G13" s="29" t="str">
        <x:v>Validate in contracts</x:v>
      </x:c>
      <x:c r="H13" s="196" t="str">
        <x:v>Minimum paid seats; team is not one user</x:v>
      </x:c>
    </x:row>
    <x:row r="14" ht="22" customHeight="1">
      <x:c r="A14" s="30" t="str">
        <x:v>BETA — Founding Team Pro price</x:v>
      </x:c>
      <x:c r="B14" s="33" t="n">
        <x:v>240</x:v>
      </x:c>
      <x:c r="C14" s="33"/>
      <x:c r="D14" s="33"/>
      <x:c r="E14" s="29" t="str">
        <x:v>$/seat/year</x:v>
      </x:c>
      <x:c r="F14" s="191" t="str">
        <x:v>Founder price</x:v>
      </x:c>
      <x:c r="G14" s="29" t="str">
        <x:v>Management decision</x:v>
      </x:c>
      <x:c r="H14" s="196" t="str">
        <x:v>$240 / seat / year Team Pro Beta offer; three-seat minimum per team.</x:v>
      </x:c>
    </x:row>
    <x:row r="15" ht="22" customHeight="1">
      <x:c r="A15" s="30" t="str">
        <x:v>BETA — individual annual retention</x:v>
      </x:c>
      <x:c r="B15" s="34" t="n">
        <x:v>0.6</x:v>
      </x:c>
      <x:c r="C15" s="34"/>
      <x:c r="D15" s="34"/>
      <x:c r="E15" s="29" t="str">
        <x:v>% retained</x:v>
      </x:c>
      <x:c r="F15" s="191" t="str">
        <x:v>Market anchored</x:v>
      </x:c>
      <x:c r="G15" s="29" t="str">
        <x:v>Validate at renewal</x:v>
      </x:c>
      <x:c r="H15" s="196" t="str">
        <x:v>Applied at each annual renewal</x:v>
      </x:c>
    </x:row>
    <x:row r="16" ht="22" customHeight="1">
      <x:c r="A16" s="30" t="str">
        <x:v>BETA — team annual logo retention</x:v>
      </x:c>
      <x:c r="B16" s="34" t="n">
        <x:v>0.9</x:v>
      </x:c>
      <x:c r="C16" s="34"/>
      <x:c r="D16" s="34"/>
      <x:c r="E16" s="29" t="str">
        <x:v>% retained</x:v>
      </x:c>
      <x:c r="F16" s="191" t="str">
        <x:v>Management target</x:v>
      </x:c>
      <x:c r="G16" s="29" t="str">
        <x:v>Validate at renewal</x:v>
      </x:c>
      <x:c r="H16" s="196" t="str">
        <x:v>Applied at each annual renewal</x:v>
      </x:c>
    </x:row>
    <x:row r="17" ht="22" customHeight="1">
      <x:c r="A17" s="30" t="str">
        <x:v>BETA — months to cohort A renewal at GA</x:v>
      </x:c>
      <x:c r="B17" s="32" t="n">
        <x:v>6</x:v>
      </x:c>
      <x:c r="C17" s="32"/>
      <x:c r="D17" s="32"/>
      <x:c r="E17" s="29" t="str">
        <x:v>months</x:v>
      </x:c>
      <x:c r="F17" s="191" t="str">
        <x:v>Timing formula</x:v>
      </x:c>
      <x:c r="G17" s="29" t="str">
        <x:v>Defined</x:v>
      </x:c>
      <x:c r="H17" s="196" t="str">
        <x:v>Nov 2026 start; renewal after six commercial months</x:v>
      </x:c>
    </x:row>
    <x:row r="18" ht="22" customHeight="1">
      <x:c r="A18" s="30" t="str">
        <x:v>BETA — months to cohort B renewal at GA</x:v>
      </x:c>
      <x:c r="B18" s="32" t="n">
        <x:v>10</x:v>
      </x:c>
      <x:c r="C18" s="32"/>
      <x:c r="D18" s="32"/>
      <x:c r="E18" s="29" t="str">
        <x:v>months</x:v>
      </x:c>
      <x:c r="F18" s="191" t="str">
        <x:v>Timing formula</x:v>
      </x:c>
      <x:c r="G18" s="29" t="str">
        <x:v>Defined</x:v>
      </x:c>
      <x:c r="H18" s="196" t="str">
        <x:v>Mar 2027 start; renewal after ten commercial months</x:v>
      </x:c>
    </x:row>
    <x:row r="19" ht="22" customHeight="1">
      <x:c r="A19" s="29"/>
      <x:c r="B19" s="32"/>
      <x:c r="C19" s="32"/>
      <x:c r="D19" s="32"/>
      <x:c r="E19" s="29"/>
      <x:c r="F19" s="191"/>
      <x:c r="G19" s="29"/>
      <x:c r="H19" s="196"/>
    </x:row>
    <x:row r="20" ht="22" customHeight="1">
      <x:c r="A20" s="35" t="str">
        <x:v>CORE — new individual paid cohort</x:v>
      </x:c>
      <x:c r="B20" s="32" t="n">
        <x:v>100</x:v>
      </x:c>
      <x:c r="C20" s="32" t="n">
        <x:v>250</x:v>
      </x:c>
      <x:c r="D20" s="32" t="n">
        <x:v>500</x:v>
      </x:c>
      <x:c r="E20" s="29" t="str">
        <x:v>new users</x:v>
      </x:c>
      <x:c r="F20" s="191" t="str">
        <x:v>Management case</x:v>
      </x:c>
      <x:c r="G20" s="29" t="str">
        <x:v>Validate with cohorts</x:v>
      </x:c>
      <x:c r="H20" s="196" t="str">
        <x:v>Commercial acquisition excludes Beta customers</x:v>
      </x:c>
    </x:row>
    <x:row r="21" ht="22" customHeight="1">
      <x:c r="A21" s="35" t="str">
        <x:v>CORE — individual annual retention</x:v>
      </x:c>
      <x:c r="B21" s="34" t="n">
        <x:v>0.6</x:v>
      </x:c>
      <x:c r="C21" s="34" t="n">
        <x:v>0.6</x:v>
      </x:c>
      <x:c r="D21" s="34" t="n">
        <x:v>0.6</x:v>
      </x:c>
      <x:c r="E21" s="29" t="str">
        <x:v>% retained</x:v>
      </x:c>
      <x:c r="F21" s="191" t="str">
        <x:v>Market anchored</x:v>
      </x:c>
      <x:c r="G21" s="29" t="str">
        <x:v>Benchmark anchored</x:v>
      </x:c>
      <x:c r="H21" s="196" t="str">
        <x:v>ChartMogul low-ARPA annual retention is ~62% on annual billing</x:v>
      </x:c>
    </x:row>
    <x:row r="22" ht="22" customHeight="1">
      <x:c r="A22" s="35" t="str">
        <x:v>CORE — blended individual ARPU</x:v>
      </x:c>
      <x:c r="B22" s="33" t="n">
        <x:v>16</x:v>
      </x:c>
      <x:c r="C22" s="33" t="n">
        <x:v>18</x:v>
      </x:c>
      <x:c r="D22" s="33" t="n">
        <x:v>20</x:v>
      </x:c>
      <x:c r="E22" s="29" t="str">
        <x:v>$/month</x:v>
      </x:c>
      <x:c r="F22" s="191" t="str">
        <x:v>Published price + mix</x:v>
      </x:c>
      <x:c r="G22" s="29" t="str">
        <x:v>Market anchored</x:v>
      </x:c>
      <x:c r="H22" s="196" t="str">
        <x:v>Commercial mix; Beta Pro price is modeled separately</x:v>
      </x:c>
    </x:row>
    <x:row r="23" ht="22" customHeight="1">
      <x:c r="A23" s="35" t="str">
        <x:v>CORE — new team account cohort</x:v>
      </x:c>
      <x:c r="B23" s="32" t="n">
        <x:v>20</x:v>
      </x:c>
      <x:c r="C23" s="32" t="n">
        <x:v>30</x:v>
      </x:c>
      <x:c r="D23" s="32" t="n">
        <x:v>60</x:v>
      </x:c>
      <x:c r="E23" s="29" t="str">
        <x:v>new workspaces</x:v>
      </x:c>
      <x:c r="F23" s="191" t="str">
        <x:v>Management case</x:v>
      </x:c>
      <x:c r="G23" s="29" t="str">
        <x:v>Validate with pipeline</x:v>
      </x:c>
      <x:c r="H23" s="196" t="str">
        <x:v>Commercial gross new workspaces; excludes two Beta teams</x:v>
      </x:c>
    </x:row>
    <x:row r="24" ht="22" customHeight="1">
      <x:c r="A24" s="35" t="str">
        <x:v>CORE — B2B annual logo retention</x:v>
      </x:c>
      <x:c r="B24" s="34" t="n">
        <x:v>0.9</x:v>
      </x:c>
      <x:c r="C24" s="34" t="n">
        <x:v>0.9</x:v>
      </x:c>
      <x:c r="D24" s="34" t="n">
        <x:v>0.9</x:v>
      </x:c>
      <x:c r="E24" s="29" t="str">
        <x:v>% retained</x:v>
      </x:c>
      <x:c r="F24" s="191" t="str">
        <x:v>Management target</x:v>
      </x:c>
      <x:c r="G24" s="29" t="str">
        <x:v>Conditional target</x:v>
      </x:c>
      <x:c r="H24" s="196" t="str">
        <x:v>Requires annual billing, workflow embedding and assisted onboarding</x:v>
      </x:c>
    </x:row>
    <x:row r="25" ht="22" customHeight="1">
      <x:c r="A25" s="35" t="str">
        <x:v>CORE — avg. paid seats / team</x:v>
      </x:c>
      <x:c r="B25" s="32" t="n">
        <x:v>8</x:v>
      </x:c>
      <x:c r="C25" s="32" t="n">
        <x:v>9</x:v>
      </x:c>
      <x:c r="D25" s="32" t="n">
        <x:v>10</x:v>
      </x:c>
      <x:c r="E25" s="29" t="str">
        <x:v>seats/workspace</x:v>
      </x:c>
      <x:c r="F25" s="191" t="str">
        <x:v>Management assumption</x:v>
      </x:c>
      <x:c r="G25" s="29" t="str">
        <x:v>Validate with cohorts</x:v>
      </x:c>
      <x:c r="H25" s="196" t="str">
        <x:v>Commercial seat expansion is explicit</x:v>
      </x:c>
    </x:row>
    <x:row r="26" ht="22" customHeight="1">
      <x:c r="A26" s="35" t="str">
        <x:v>CORE — blended team seat price</x:v>
      </x:c>
      <x:c r="B26" s="33" t="n">
        <x:v>20</x:v>
      </x:c>
      <x:c r="C26" s="33" t="n">
        <x:v>22</x:v>
      </x:c>
      <x:c r="D26" s="33" t="n">
        <x:v>24</x:v>
      </x:c>
      <x:c r="E26" s="29" t="str">
        <x:v>$/seat/month</x:v>
      </x:c>
      <x:c r="F26" s="191" t="str">
        <x:v>Published price + mix</x:v>
      </x:c>
      <x:c r="G26" s="29" t="str">
        <x:v>Market anchored</x:v>
      </x:c>
      <x:c r="H26" s="196" t="str">
        <x:v>$12 Team Plus / $30 Team Pro</x:v>
      </x:c>
    </x:row>
    <x:row r="27" ht="22" customHeight="1">
      <x:c r="A27" s="35" t="str">
        <x:v>CORE — new enterprise cohort</x:v>
      </x:c>
      <x:c r="B27" s="32" t="n">
        <x:v>0</x:v>
      </x:c>
      <x:c r="C27" s="32" t="n">
        <x:v>1</x:v>
      </x:c>
      <x:c r="D27" s="32" t="n">
        <x:v>3</x:v>
      </x:c>
      <x:c r="E27" s="29" t="str">
        <x:v>new contracts</x:v>
      </x:c>
      <x:c r="F27" s="191" t="str">
        <x:v>Management case</x:v>
      </x:c>
      <x:c r="G27" s="29" t="str">
        <x:v>Pipeline gated</x:v>
      </x:c>
      <x:c r="H27" s="196" t="str">
        <x:v>No enterprise revenue in commercial Y1 without contract</x:v>
      </x:c>
    </x:row>
    <x:row r="28" ht="22" customHeight="1">
      <x:c r="A28" s="35" t="str">
        <x:v>CORE — enterprise ACV</x:v>
      </x:c>
      <x:c r="B28" s="33" t="n">
        <x:v>18000</x:v>
      </x:c>
      <x:c r="C28" s="33" t="n">
        <x:v>20000</x:v>
      </x:c>
      <x:c r="D28" s="33" t="n">
        <x:v>22000</x:v>
      </x:c>
      <x:c r="E28" s="29" t="str">
        <x:v>$/year</x:v>
      </x:c>
      <x:c r="F28" s="191" t="str">
        <x:v>Market assumption</x:v>
      </x:c>
      <x:c r="G28" s="29" t="str">
        <x:v>Pipeline gated</x:v>
      </x:c>
      <x:c r="H28" s="196" t="str">
        <x:v>Security, SSO, SLA and procurement required</x:v>
      </x:c>
    </x:row>
    <x:row r="29" ht="22" customHeight="1">
      <x:c r="A29" s="35" t="str">
        <x:v>CORE — new active API wallet cohort</x:v>
      </x:c>
      <x:c r="B29" s="32" t="n">
        <x:v>20</x:v>
      </x:c>
      <x:c r="C29" s="32" t="n">
        <x:v>50</x:v>
      </x:c>
      <x:c r="D29" s="32" t="n">
        <x:v>120</x:v>
      </x:c>
      <x:c r="E29" s="29" t="str">
        <x:v>new wallets</x:v>
      </x:c>
      <x:c r="F29" s="191" t="str">
        <x:v>Management case</x:v>
      </x:c>
      <x:c r="G29" s="29" t="str">
        <x:v>Reliability gated</x:v>
      </x:c>
      <x:c r="H29" s="196" t="str">
        <x:v>Usage retention modeled separately</x:v>
      </x:c>
    </x:row>
    <x:row r="30" ht="22" customHeight="1">
      <x:c r="A30" s="35" t="str">
        <x:v>CORE — API annual active-wallet retention</x:v>
      </x:c>
      <x:c r="B30" s="34" t="n">
        <x:v>0.7</x:v>
      </x:c>
      <x:c r="C30" s="34" t="n">
        <x:v>0.7</x:v>
      </x:c>
      <x:c r="D30" s="34" t="n">
        <x:v>0.7</x:v>
      </x:c>
      <x:c r="E30" s="29" t="str">
        <x:v>% retained</x:v>
      </x:c>
      <x:c r="F30" s="191" t="str">
        <x:v>Planning assumption</x:v>
      </x:c>
      <x:c r="G30" s="29" t="str">
        <x:v>Validate with wallets</x:v>
      </x:c>
      <x:c r="H30" s="196" t="str">
        <x:v>Wallet usage is more volatile than B2B subscriptions</x:v>
      </x:c>
    </x:row>
    <x:row r="31" ht="22" customHeight="1">
      <x:c r="A31" s="35" t="str">
        <x:v>CORE — average API spend</x:v>
      </x:c>
      <x:c r="B31" s="33" t="n">
        <x:v>30</x:v>
      </x:c>
      <x:c r="C31" s="33" t="n">
        <x:v>45</x:v>
      </x:c>
      <x:c r="D31" s="33" t="n">
        <x:v>60</x:v>
      </x:c>
      <x:c r="E31" s="29" t="str">
        <x:v>$/wallet/month</x:v>
      </x:c>
      <x:c r="F31" s="191" t="str">
        <x:v>Usage assumption</x:v>
      </x:c>
      <x:c r="G31" s="29" t="str">
        <x:v>Validate with wallets</x:v>
      </x:c>
      <x:c r="H31" s="196" t="str">
        <x:v>Only consumed prepaid balance is revenue</x:v>
      </x:c>
    </x:row>
    <x:row r="32" ht="22" customHeight="1">
      <x:c r="A32" s="35" t="str">
        <x:v>CORE — onboarding fee per new B2B account</x:v>
      </x:c>
      <x:c r="B32" s="33" t="n">
        <x:v>1000</x:v>
      </x:c>
      <x:c r="C32" s="33" t="n">
        <x:v>900</x:v>
      </x:c>
      <x:c r="D32" s="33" t="n">
        <x:v>750</x:v>
      </x:c>
      <x:c r="E32" s="29" t="str">
        <x:v>$/new account</x:v>
      </x:c>
      <x:c r="F32" s="191" t="str">
        <x:v>Management decision</x:v>
      </x:c>
      <x:c r="G32" s="29" t="str">
        <x:v>Market anchored</x:v>
      </x:c>
      <x:c r="H32" s="196" t="str">
        <x:v>Commercial gross new team and enterprise cohorts only</x:v>
      </x:c>
    </x:row>
    <x:row r="33" ht="22" customHeight="1">
      <x:c r="A33" s="35" t="str">
        <x:v>CORE — subscription COGS</x:v>
      </x:c>
      <x:c r="B33" s="34" t="n">
        <x:v>0.35</x:v>
      </x:c>
      <x:c r="C33" s="34" t="n">
        <x:v>0.32</x:v>
      </x:c>
      <x:c r="D33" s="34" t="n">
        <x:v>0.3</x:v>
      </x:c>
      <x:c r="E33" s="29" t="str">
        <x:v>% revenue</x:v>
      </x:c>
      <x:c r="F33" s="191" t="str">
        <x:v>Conservative benchmark</x:v>
      </x:c>
      <x:c r="G33" s="29" t="str">
        <x:v>Model assumption</x:v>
      </x:c>
      <x:c r="H33" s="196" t="str">
        <x:v>Inference, hosting, storage and direct support</x:v>
      </x:c>
    </x:row>
    <x:row r="34" ht="22" customHeight="1">
      <x:c r="A34" s="35" t="str">
        <x:v>CORE — API COGS</x:v>
      </x:c>
      <x:c r="B34" s="34" t="n">
        <x:v>0.5</x:v>
      </x:c>
      <x:c r="C34" s="34" t="n">
        <x:v>0.45</x:v>
      </x:c>
      <x:c r="D34" s="34" t="n">
        <x:v>0.4</x:v>
      </x:c>
      <x:c r="E34" s="29" t="str">
        <x:v>% revenue</x:v>
      </x:c>
      <x:c r="F34" s="191" t="str">
        <x:v>Conservative benchmark</x:v>
      </x:c>
      <x:c r="G34" s="29" t="str">
        <x:v>Model assumption</x:v>
      </x:c>
      <x:c r="H34" s="196" t="str">
        <x:v>Usage margin starts below mature software margin</x:v>
      </x:c>
    </x:row>
    <x:row r="35" ht="22" customHeight="1">
      <x:c r="A35" s="35" t="str">
        <x:v>CORE — onboarding COGS</x:v>
      </x:c>
      <x:c r="B35" s="34" t="n">
        <x:v>0.7</x:v>
      </x:c>
      <x:c r="C35" s="34" t="n">
        <x:v>0.7</x:v>
      </x:c>
      <x:c r="D35" s="34" t="n">
        <x:v>0.7</x:v>
      </x:c>
      <x:c r="E35" s="29" t="str">
        <x:v>% revenue</x:v>
      </x:c>
      <x:c r="F35" s="191" t="str">
        <x:v>Industry benchmark</x:v>
      </x:c>
      <x:c r="G35" s="29" t="str">
        <x:v>Benchmark anchored</x:v>
      </x:c>
      <x:c r="H35" s="196" t="str">
        <x:v>Professional services at 30% gross margin</x:v>
      </x:c>
    </x:row>
    <x:row r="36" ht="22" customHeight="1">
      <x:c r="A36" s="29"/>
      <x:c r="B36" s="32"/>
      <x:c r="C36" s="32"/>
      <x:c r="D36" s="32"/>
      <x:c r="E36" s="29"/>
      <x:c r="F36" s="191"/>
      <x:c r="G36" s="29"/>
      <x:c r="H36" s="196"/>
    </x:row>
    <x:row r="37" ht="22" customHeight="1">
      <x:c r="A37" s="35" t="str">
        <x:v>ENGAGE — new Starter cohort</x:v>
      </x:c>
      <x:c r="B37" s="32" t="n">
        <x:v>15</x:v>
      </x:c>
      <x:c r="C37" s="32" t="n">
        <x:v>20</x:v>
      </x:c>
      <x:c r="D37" s="32" t="n">
        <x:v>30</x:v>
      </x:c>
      <x:c r="E37" s="29" t="str">
        <x:v>new workspaces</x:v>
      </x:c>
      <x:c r="F37" s="191" t="str">
        <x:v>Management case</x:v>
      </x:c>
      <x:c r="G37" s="29" t="str">
        <x:v>Validate with cohorts</x:v>
      </x:c>
      <x:c r="H37" s="196" t="str">
        <x:v>Starts at commercial GA</x:v>
      </x:c>
    </x:row>
    <x:row r="38" ht="22" customHeight="1">
      <x:c r="A38" s="35" t="str">
        <x:v>ENGAGE — Starter price</x:v>
      </x:c>
      <x:c r="B38" s="33" t="n">
        <x:v>99</x:v>
      </x:c>
      <x:c r="C38" s="33" t="n">
        <x:v>99</x:v>
      </x:c>
      <x:c r="D38" s="33" t="n">
        <x:v>99</x:v>
      </x:c>
      <x:c r="E38" s="29" t="str">
        <x:v>$/month</x:v>
      </x:c>
      <x:c r="F38" s="191" t="str">
        <x:v>Published price</x:v>
      </x:c>
      <x:c r="G38" s="29" t="str">
        <x:v>Market anchored</x:v>
      </x:c>
      <x:c r="H38" s="196" t="str">
        <x:v>Current product price</x:v>
      </x:c>
    </x:row>
    <x:row r="39" ht="22" customHeight="1">
      <x:c r="A39" s="35" t="str">
        <x:v>ENGAGE — new Growth cohort</x:v>
      </x:c>
      <x:c r="B39" s="32" t="n">
        <x:v>12</x:v>
      </x:c>
      <x:c r="C39" s="32" t="n">
        <x:v>25</x:v>
      </x:c>
      <x:c r="D39" s="32" t="n">
        <x:v>60</x:v>
      </x:c>
      <x:c r="E39" s="29" t="str">
        <x:v>new workspaces</x:v>
      </x:c>
      <x:c r="F39" s="191" t="str">
        <x:v>Management case</x:v>
      </x:c>
      <x:c r="G39" s="29" t="str">
        <x:v>Validate with cohorts</x:v>
      </x:c>
      <x:c r="H39" s="196" t="str">
        <x:v>Primary paid plan</x:v>
      </x:c>
    </x:row>
    <x:row r="40" ht="22" customHeight="1">
      <x:c r="A40" s="35" t="str">
        <x:v>ENGAGE — Growth price</x:v>
      </x:c>
      <x:c r="B40" s="33" t="n">
        <x:v>249</x:v>
      </x:c>
      <x:c r="C40" s="33" t="n">
        <x:v>249</x:v>
      </x:c>
      <x:c r="D40" s="33" t="n">
        <x:v>249</x:v>
      </x:c>
      <x:c r="E40" s="29" t="str">
        <x:v>$/month</x:v>
      </x:c>
      <x:c r="F40" s="191" t="str">
        <x:v>Published price</x:v>
      </x:c>
      <x:c r="G40" s="29" t="str">
        <x:v>Market anchored</x:v>
      </x:c>
      <x:c r="H40" s="196" t="str">
        <x:v>Current product price</x:v>
      </x:c>
    </x:row>
    <x:row r="41" ht="22" customHeight="1">
      <x:c r="A41" s="35" t="str">
        <x:v>ENGAGE — new Scale cohort</x:v>
      </x:c>
      <x:c r="B41" s="32" t="n">
        <x:v>3</x:v>
      </x:c>
      <x:c r="C41" s="32" t="n">
        <x:v>5</x:v>
      </x:c>
      <x:c r="D41" s="32" t="n">
        <x:v>12</x:v>
      </x:c>
      <x:c r="E41" s="29" t="str">
        <x:v>new workspaces</x:v>
      </x:c>
      <x:c r="F41" s="191" t="str">
        <x:v>Management case</x:v>
      </x:c>
      <x:c r="G41" s="29" t="str">
        <x:v>Validate with cohorts</x:v>
      </x:c>
      <x:c r="H41" s="196" t="str">
        <x:v>Higher-support segment</x:v>
      </x:c>
    </x:row>
    <x:row r="42" ht="22" customHeight="1">
      <x:c r="A42" s="35" t="str">
        <x:v>ENGAGE — Scale price</x:v>
      </x:c>
      <x:c r="B42" s="33" t="n">
        <x:v>599</x:v>
      </x:c>
      <x:c r="C42" s="33" t="n">
        <x:v>599</x:v>
      </x:c>
      <x:c r="D42" s="33" t="n">
        <x:v>599</x:v>
      </x:c>
      <x:c r="E42" s="29" t="str">
        <x:v>$/month</x:v>
      </x:c>
      <x:c r="F42" s="191" t="str">
        <x:v>Published price</x:v>
      </x:c>
      <x:c r="G42" s="29" t="str">
        <x:v>Market anchored</x:v>
      </x:c>
      <x:c r="H42" s="196" t="str">
        <x:v>Current product price</x:v>
      </x:c>
    </x:row>
    <x:row r="43" ht="22" customHeight="1">
      <x:c r="A43" s="35" t="str">
        <x:v>ENGAGE — new Enterprise cohort</x:v>
      </x:c>
      <x:c r="B43" s="32" t="n">
        <x:v>0</x:v>
      </x:c>
      <x:c r="C43" s="32" t="n">
        <x:v>1</x:v>
      </x:c>
      <x:c r="D43" s="32" t="n">
        <x:v>2</x:v>
      </x:c>
      <x:c r="E43" s="29" t="str">
        <x:v>new contracts</x:v>
      </x:c>
      <x:c r="F43" s="191" t="str">
        <x:v>Management case</x:v>
      </x:c>
      <x:c r="G43" s="29" t="str">
        <x:v>Pipeline gated</x:v>
      </x:c>
      <x:c r="H43" s="196" t="str">
        <x:v>No enterprise in commercial Y1 base</x:v>
      </x:c>
    </x:row>
    <x:row r="44" ht="22" customHeight="1">
      <x:c r="A44" s="35" t="str">
        <x:v>ENGAGE — Enterprise monthly ARPA</x:v>
      </x:c>
      <x:c r="B44" s="33" t="n">
        <x:v>1000</x:v>
      </x:c>
      <x:c r="C44" s="33" t="n">
        <x:v>1000</x:v>
      </x:c>
      <x:c r="D44" s="33" t="n">
        <x:v>1000</x:v>
      </x:c>
      <x:c r="E44" s="29" t="str">
        <x:v>$/month</x:v>
      </x:c>
      <x:c r="F44" s="191" t="str">
        <x:v>Published floor</x:v>
      </x:c>
      <x:c r="G44" s="29" t="str">
        <x:v>Market anchored</x:v>
      </x:c>
      <x:c r="H44" s="196" t="str">
        <x:v>$12k minimum ACV</x:v>
      </x:c>
    </x:row>
    <x:row r="45" ht="22" customHeight="1">
      <x:c r="A45" s="35" t="str">
        <x:v>ENGAGE — B2B annual logo retention</x:v>
      </x:c>
      <x:c r="B45" s="34" t="n">
        <x:v>0.9</x:v>
      </x:c>
      <x:c r="C45" s="34" t="n">
        <x:v>0.9</x:v>
      </x:c>
      <x:c r="D45" s="34" t="n">
        <x:v>0.9</x:v>
      </x:c>
      <x:c r="E45" s="29" t="str">
        <x:v>% retained</x:v>
      </x:c>
      <x:c r="F45" s="191" t="str">
        <x:v>Management target</x:v>
      </x:c>
      <x:c r="G45" s="29" t="str">
        <x:v>Conditional target</x:v>
      </x:c>
      <x:c r="H45" s="196" t="str">
        <x:v>Applied cohort by cohort</x:v>
      </x:c>
    </x:row>
    <x:row r="46" ht="22" customHeight="1">
      <x:c r="A46" s="35" t="str">
        <x:v>ENGAGE — usage / add-on revenue</x:v>
      </x:c>
      <x:c r="B46" s="34" t="n">
        <x:v>0</x:v>
      </x:c>
      <x:c r="C46" s="34" t="n">
        <x:v>0</x:v>
      </x:c>
      <x:c r="D46" s="34" t="n">
        <x:v>0.03</x:v>
      </x:c>
      <x:c r="E46" s="29" t="str">
        <x:v>% subscription</x:v>
      </x:c>
      <x:c r="F46" s="191" t="str">
        <x:v>Conservative assumption</x:v>
      </x:c>
      <x:c r="G46" s="29" t="str">
        <x:v>Evidence gated</x:v>
      </x:c>
      <x:c r="H46" s="196" t="str">
        <x:v>No uplift before observed overages</x:v>
      </x:c>
    </x:row>
    <x:row r="47" ht="22" customHeight="1">
      <x:c r="A47" s="35" t="str">
        <x:v>ENGAGE — standard onboarding fee</x:v>
      </x:c>
      <x:c r="B47" s="33" t="n">
        <x:v>600</x:v>
      </x:c>
      <x:c r="C47" s="33" t="n">
        <x:v>500</x:v>
      </x:c>
      <x:c r="D47" s="33" t="n">
        <x:v>400</x:v>
      </x:c>
      <x:c r="E47" s="29" t="str">
        <x:v>$/new workspace</x:v>
      </x:c>
      <x:c r="F47" s="191" t="str">
        <x:v>Management decision</x:v>
      </x:c>
      <x:c r="G47" s="29" t="str">
        <x:v>Market anchored</x:v>
      </x:c>
      <x:c r="H47" s="196" t="str">
        <x:v>Gross new workspaces only</x:v>
      </x:c>
    </x:row>
    <x:row r="48" ht="22" customHeight="1">
      <x:c r="A48" s="35" t="str">
        <x:v>ENGAGE — enterprise onboarding fee</x:v>
      </x:c>
      <x:c r="B48" s="33" t="n">
        <x:v>3000</x:v>
      </x:c>
      <x:c r="C48" s="33" t="n">
        <x:v>4000</x:v>
      </x:c>
      <x:c r="D48" s="33" t="n">
        <x:v>5000</x:v>
      </x:c>
      <x:c r="E48" s="29" t="str">
        <x:v>$/new contract</x:v>
      </x:c>
      <x:c r="F48" s="191" t="str">
        <x:v>Management decision</x:v>
      </x:c>
      <x:c r="G48" s="29" t="str">
        <x:v>Pipeline gated</x:v>
      </x:c>
      <x:c r="H48" s="196" t="str">
        <x:v>Integration and security scope</x:v>
      </x:c>
    </x:row>
    <x:row r="49" ht="22" customHeight="1">
      <x:c r="A49" s="35" t="str">
        <x:v>ENGAGE — subscription COGS</x:v>
      </x:c>
      <x:c r="B49" s="34" t="n">
        <x:v>0.35</x:v>
      </x:c>
      <x:c r="C49" s="34" t="n">
        <x:v>0.32</x:v>
      </x:c>
      <x:c r="D49" s="34" t="n">
        <x:v>0.3</x:v>
      </x:c>
      <x:c r="E49" s="29" t="str">
        <x:v>% revenue</x:v>
      </x:c>
      <x:c r="F49" s="191" t="str">
        <x:v>Conservative benchmark</x:v>
      </x:c>
      <x:c r="G49" s="29" t="str">
        <x:v>Model assumption</x:v>
      </x:c>
      <x:c r="H49" s="196" t="str">
        <x:v>AI, hosting and direct support</x:v>
      </x:c>
    </x:row>
    <x:row r="50" ht="22" customHeight="1">
      <x:c r="A50" s="35" t="str">
        <x:v>ENGAGE — usage COGS</x:v>
      </x:c>
      <x:c r="B50" s="34" t="n">
        <x:v>0.4</x:v>
      </x:c>
      <x:c r="C50" s="34" t="n">
        <x:v>0.4</x:v>
      </x:c>
      <x:c r="D50" s="34" t="n">
        <x:v>0.4</x:v>
      </x:c>
      <x:c r="E50" s="29" t="str">
        <x:v>% revenue</x:v>
      </x:c>
      <x:c r="F50" s="191" t="str">
        <x:v>Planning assumption</x:v>
      </x:c>
      <x:c r="G50" s="29" t="str">
        <x:v>Model assumption</x:v>
      </x:c>
      <x:c r="H50" s="196" t="str">
        <x:v>Usage-layer margin</x:v>
      </x:c>
    </x:row>
    <x:row r="51" ht="22" customHeight="1">
      <x:c r="A51" s="35" t="str">
        <x:v>ENGAGE — onboarding COGS</x:v>
      </x:c>
      <x:c r="B51" s="34" t="n">
        <x:v>0.7</x:v>
      </x:c>
      <x:c r="C51" s="34" t="n">
        <x:v>0.7</x:v>
      </x:c>
      <x:c r="D51" s="34" t="n">
        <x:v>0.7</x:v>
      </x:c>
      <x:c r="E51" s="29" t="str">
        <x:v>% revenue</x:v>
      </x:c>
      <x:c r="F51" s="191" t="str">
        <x:v>Industry benchmark</x:v>
      </x:c>
      <x:c r="G51" s="29" t="str">
        <x:v>Benchmark anchored</x:v>
      </x:c>
      <x:c r="H51" s="196" t="str">
        <x:v>Professional services at 30% gross margin</x:v>
      </x:c>
    </x:row>
    <x:row r="52" ht="22" customHeight="1">
      <x:c r="A52" s="35"/>
      <x:c r="B52" s="32"/>
      <x:c r="C52" s="32"/>
      <x:c r="D52" s="32"/>
      <x:c r="E52" s="29"/>
      <x:c r="F52" s="193"/>
      <x:c r="G52" s="29"/>
      <x:c r="H52" s="197"/>
    </x:row>
  </x:sheetData>
  <x:mergeCells>
    <x:mergeCell ref="A1:H1"/>
    <x:mergeCell ref="A2:H2"/>
  </x:mergeCells>
  <x:pageMargins left="0.7" right="0.7" top="0.75" bottom="0.75" header="0.3" footer="0.3"/>
  <x:legacyDrawing xmlns:r="http://schemas.openxmlformats.org/officeDocument/2006/relationships" r:id="R2fce820a502f49a5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8" customHeight="1">
      <x:c r="A1" s="19" t="str">
        <x:v>Calculation Schedule · Cohort Bridge</x:v>
      </x:c>
      <x:c r="B1" s="19" t="str">
        <x:v>Customer Cohort Bridge</x:v>
      </x:c>
      <x:c r="C1" s="19" t="str">
        <x:v>Customer Cohort Bridge</x:v>
      </x:c>
      <x:c r="D1" s="19" t="str">
        <x:v>Customer Cohort Bridge</x:v>
      </x:c>
      <x:c r="E1" s="19" t="str">
        <x:v>Customer Cohort Bridge</x:v>
      </x:c>
      <x:c r="F1" s="19" t="str">
        <x:v>Customer Cohort Bridge</x:v>
      </x:c>
      <x:c r="G1" s="19" t="str">
        <x:v>Customer Cohort Bridge</x:v>
      </x:c>
      <x:c r="H1" s="19" t="str">
        <x:v>Customer Cohort Bridge</x:v>
      </x:c>
      <x:c r="I1" s="19" t="str">
        <x:v>Customer Cohort Bridge</x:v>
      </x:c>
    </x:row>
    <x:row r="2" ht="25" customHeight="1">
      <x:c r="A2" s="20" t="str">
        <x:v>Supporting schedule for Beta carry-forward and retained opening cohorts</x:v>
      </x:c>
      <x:c r="B2" s="20" t="str">
        <x:v>Beta exit cohorts roll into Commercial Year 1; ending customers equal retained prior cohorts plus new cohorts.</x:v>
      </x:c>
      <x:c r="C2" s="20" t="str">
        <x:v>Beta exit cohorts roll into Commercial Year 1; ending customers equal retained prior cohorts plus new cohorts.</x:v>
      </x:c>
      <x:c r="D2" s="20" t="str">
        <x:v>Beta exit cohorts roll into Commercial Year 1; ending customers equal retained prior cohorts plus new cohorts.</x:v>
      </x:c>
      <x:c r="E2" s="20" t="str">
        <x:v>Beta exit cohorts roll into Commercial Year 1; ending customers equal retained prior cohorts plus new cohorts.</x:v>
      </x:c>
      <x:c r="F2" s="20" t="str">
        <x:v>Beta exit cohorts roll into Commercial Year 1; ending customers equal retained prior cohorts plus new cohorts.</x:v>
      </x:c>
      <x:c r="G2" s="20" t="str">
        <x:v>Beta exit cohorts roll into Commercial Year 1; ending customers equal retained prior cohorts plus new cohorts.</x:v>
      </x:c>
      <x:c r="H2" s="20" t="str">
        <x:v>Beta exit cohorts roll into Commercial Year 1; ending customers equal retained prior cohorts plus new cohorts.</x:v>
      </x:c>
      <x:c r="I2" s="20" t="str">
        <x:v>Beta exit cohorts roll into Commercial Year 1; ending customers equal retained prior cohorts plus new cohorts.</x:v>
      </x:c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</x:row>
    <x:row r="4" ht="27" customHeight="1">
      <x:c r="A4" s="22" t="str">
        <x:v>Stream</x:v>
      </x:c>
      <x:c r="B4" s="22" t="str">
        <x:v>Retention</x:v>
      </x:c>
      <x:c r="C4" s="22" t="str">
        <x:v>Beta exit / GA opening</x:v>
      </x:c>
      <x:c r="D4" s="22" t="str">
        <x:v>Commercial Y1 new</x:v>
      </x:c>
      <x:c r="E4" s="22" t="str">
        <x:v>End Y1</x:v>
      </x:c>
      <x:c r="F4" s="22" t="str">
        <x:v>Commercial Y2 new</x:v>
      </x:c>
      <x:c r="G4" s="22" t="str">
        <x:v>End Y2</x:v>
      </x:c>
      <x:c r="H4" s="22" t="str">
        <x:v>Commercial Y3 new</x:v>
      </x:c>
      <x:c r="I4" s="22" t="str">
        <x:v>End Y3</x:v>
      </x:c>
    </x:row>
    <x:row r="5">
      <x:c r="A5" s="29" t="str">
        <x:v>Core individuals</x:v>
      </x:c>
      <x:c r="B5" s="67" t="n">
        <x:f>'Assumptions'!B21</x:f>
        <x:v>0.6</x:v>
      </x:c>
      <x:c r="C5" s="75" t="n">
        <x:f>'Assumptions'!B8+'Assumptions'!B9</x:f>
        <x:v>30</x:v>
      </x:c>
      <x:c r="D5" s="75" t="n">
        <x:f>'Assumptions'!B20</x:f>
        <x:v>100</x:v>
      </x:c>
      <x:c r="E5" s="75" t="n">
        <x:f>C5*B5+D5</x:f>
        <x:v>118</x:v>
      </x:c>
      <x:c r="F5" s="75" t="n">
        <x:f>'Assumptions'!C20</x:f>
        <x:v>250</x:v>
      </x:c>
      <x:c r="G5" s="75" t="n">
        <x:f>C5*B5^2+D5*B5+F5</x:f>
        <x:v>320.8</x:v>
      </x:c>
      <x:c r="H5" s="75" t="n">
        <x:f>'Assumptions'!D20</x:f>
        <x:v>500</x:v>
      </x:c>
      <x:c r="I5" s="75" t="n">
        <x:f>C5*B5^3+D5*B5^2+F5*B5+H5</x:f>
        <x:v>692.48</x:v>
      </x:c>
    </x:row>
    <x:row r="6">
      <x:c r="A6" s="29" t="str">
        <x:v>Core team workspaces</x:v>
      </x:c>
      <x:c r="B6" s="67" t="n">
        <x:f>'Assumptions'!B24</x:f>
        <x:v>0.9</x:v>
      </x:c>
      <x:c r="C6" s="75" t="n">
        <x:f>'Assumptions'!B11+'Assumptions'!B12</x:f>
        <x:v>2</x:v>
      </x:c>
      <x:c r="D6" s="75" t="n">
        <x:f>'Assumptions'!B23</x:f>
        <x:v>20</x:v>
      </x:c>
      <x:c r="E6" s="75" t="n">
        <x:f>C6*B6+D6</x:f>
        <x:v>21.8</x:v>
      </x:c>
      <x:c r="F6" s="75" t="n">
        <x:f>'Assumptions'!C23</x:f>
        <x:v>30</x:v>
      </x:c>
      <x:c r="G6" s="75" t="n">
        <x:f>C6*B6^2+D6*B6+F6</x:f>
        <x:v>49.620000000000005</x:v>
      </x:c>
      <x:c r="H6" s="75" t="n">
        <x:f>'Assumptions'!D23</x:f>
        <x:v>60</x:v>
      </x:c>
      <x:c r="I6" s="75" t="n">
        <x:f>C6*B6^3+D6*B6^2+F6*B6+H6</x:f>
        <x:v>104.658</x:v>
      </x:c>
    </x:row>
    <x:row r="7">
      <x:c r="A7" s="29" t="str">
        <x:v>Core enterprise</x:v>
      </x:c>
      <x:c r="B7" s="67" t="n">
        <x:f>'Assumptions'!B24</x:f>
        <x:v>0.9</x:v>
      </x:c>
      <x:c r="C7" s="75" t="n">
        <x:f>0</x:f>
        <x:v>0</x:v>
      </x:c>
      <x:c r="D7" s="75" t="n">
        <x:f>'Assumptions'!B27</x:f>
        <x:v>0</x:v>
      </x:c>
      <x:c r="E7" s="75" t="n">
        <x:f>D7</x:f>
        <x:v>0</x:v>
      </x:c>
      <x:c r="F7" s="75" t="n">
        <x:f>'Assumptions'!C27</x:f>
        <x:v>1</x:v>
      </x:c>
      <x:c r="G7" s="75" t="n">
        <x:f>D7*B7+F7</x:f>
        <x:v>1</x:v>
      </x:c>
      <x:c r="H7" s="75" t="n">
        <x:f>'Assumptions'!D27</x:f>
        <x:v>3</x:v>
      </x:c>
      <x:c r="I7" s="75" t="n">
        <x:f>D7*B7^2+F7*B7+H7</x:f>
        <x:v>3.9</x:v>
      </x:c>
    </x:row>
    <x:row r="8">
      <x:c r="A8" s="29" t="str">
        <x:v>Core API wallets</x:v>
      </x:c>
      <x:c r="B8" s="67" t="n">
        <x:f>'Assumptions'!B30</x:f>
        <x:v>0.7</x:v>
      </x:c>
      <x:c r="C8" s="75" t="n">
        <x:f>0</x:f>
        <x:v>0</x:v>
      </x:c>
      <x:c r="D8" s="75" t="n">
        <x:f>'Assumptions'!B29</x:f>
        <x:v>20</x:v>
      </x:c>
      <x:c r="E8" s="75" t="n">
        <x:f>D8</x:f>
        <x:v>20</x:v>
      </x:c>
      <x:c r="F8" s="75" t="n">
        <x:f>'Assumptions'!C29</x:f>
        <x:v>50</x:v>
      </x:c>
      <x:c r="G8" s="75" t="n">
        <x:f>D8*B8+F8</x:f>
        <x:v>64</x:v>
      </x:c>
      <x:c r="H8" s="75" t="n">
        <x:f>'Assumptions'!D29</x:f>
        <x:v>120</x:v>
      </x:c>
      <x:c r="I8" s="75" t="n">
        <x:f>D8*B8^2+F8*B8+H8</x:f>
        <x:v>164.8</x:v>
      </x:c>
    </x:row>
    <x:row r="9">
      <x:c r="A9" s="29" t="str">
        <x:v>Engage Starter</x:v>
      </x:c>
      <x:c r="B9" s="67" t="n">
        <x:f>'Assumptions'!B45</x:f>
        <x:v>0.9</x:v>
      </x:c>
      <x:c r="C9" s="75" t="n">
        <x:f>0</x:f>
        <x:v>0</x:v>
      </x:c>
      <x:c r="D9" s="75" t="n">
        <x:f>'Assumptions'!B37</x:f>
        <x:v>15</x:v>
      </x:c>
      <x:c r="E9" s="75" t="n">
        <x:f>D9</x:f>
        <x:v>15</x:v>
      </x:c>
      <x:c r="F9" s="75" t="n">
        <x:f>'Assumptions'!C37</x:f>
        <x:v>20</x:v>
      </x:c>
      <x:c r="G9" s="75" t="n">
        <x:f>D9*B9+F9</x:f>
        <x:v>33.5</x:v>
      </x:c>
      <x:c r="H9" s="75" t="n">
        <x:f>'Assumptions'!D37</x:f>
        <x:v>30</x:v>
      </x:c>
      <x:c r="I9" s="75" t="n">
        <x:f>D9*B9^2+F9*B9+H9</x:f>
        <x:v>60.15</x:v>
      </x:c>
    </x:row>
    <x:row r="10">
      <x:c r="A10" s="29" t="str">
        <x:v>Engage Growth</x:v>
      </x:c>
      <x:c r="B10" s="67" t="n">
        <x:f>'Assumptions'!B45</x:f>
        <x:v>0.9</x:v>
      </x:c>
      <x:c r="C10" s="75" t="n">
        <x:f>0</x:f>
        <x:v>0</x:v>
      </x:c>
      <x:c r="D10" s="75" t="n">
        <x:f>'Assumptions'!B39</x:f>
        <x:v>12</x:v>
      </x:c>
      <x:c r="E10" s="75" t="n">
        <x:f>D10</x:f>
        <x:v>12</x:v>
      </x:c>
      <x:c r="F10" s="75" t="n">
        <x:f>'Assumptions'!C39</x:f>
        <x:v>25</x:v>
      </x:c>
      <x:c r="G10" s="75" t="n">
        <x:f>D10*B10+F10</x:f>
        <x:v>35.8</x:v>
      </x:c>
      <x:c r="H10" s="75" t="n">
        <x:f>'Assumptions'!D39</x:f>
        <x:v>60</x:v>
      </x:c>
      <x:c r="I10" s="75" t="n">
        <x:f>D10*B10^2+F10*B10+H10</x:f>
        <x:v>92.22</x:v>
      </x:c>
    </x:row>
    <x:row r="11">
      <x:c r="A11" s="29" t="str">
        <x:v>Engage Scale</x:v>
      </x:c>
      <x:c r="B11" s="67" t="n">
        <x:f>'Assumptions'!B45</x:f>
        <x:v>0.9</x:v>
      </x:c>
      <x:c r="C11" s="75" t="n">
        <x:f>0</x:f>
        <x:v>0</x:v>
      </x:c>
      <x:c r="D11" s="75" t="n">
        <x:f>'Assumptions'!B41</x:f>
        <x:v>3</x:v>
      </x:c>
      <x:c r="E11" s="75" t="n">
        <x:f>D11</x:f>
        <x:v>3</x:v>
      </x:c>
      <x:c r="F11" s="75" t="n">
        <x:f>'Assumptions'!C41</x:f>
        <x:v>5</x:v>
      </x:c>
      <x:c r="G11" s="75" t="n">
        <x:f>D11*B11+F11</x:f>
        <x:v>7.7</x:v>
      </x:c>
      <x:c r="H11" s="75" t="n">
        <x:f>'Assumptions'!D41</x:f>
        <x:v>12</x:v>
      </x:c>
      <x:c r="I11" s="75" t="n">
        <x:f>D11*B11^2+F11*B11+H11</x:f>
        <x:v>18.93</x:v>
      </x:c>
    </x:row>
    <x:row r="12">
      <x:c r="A12" s="29" t="str">
        <x:v>Engage Enterprise</x:v>
      </x:c>
      <x:c r="B12" s="67" t="n">
        <x:f>'Assumptions'!B45</x:f>
        <x:v>0.9</x:v>
      </x:c>
      <x:c r="C12" s="75" t="n">
        <x:f>0</x:f>
        <x:v>0</x:v>
      </x:c>
      <x:c r="D12" s="75" t="n">
        <x:f>'Assumptions'!B43</x:f>
        <x:v>0</x:v>
      </x:c>
      <x:c r="E12" s="75" t="n">
        <x:f>D12</x:f>
        <x:v>0</x:v>
      </x:c>
      <x:c r="F12" s="75" t="n">
        <x:f>'Assumptions'!C43</x:f>
        <x:v>1</x:v>
      </x:c>
      <x:c r="G12" s="75" t="n">
        <x:f>D12*B12+F12</x:f>
        <x:v>1</x:v>
      </x:c>
      <x:c r="H12" s="75" t="n">
        <x:f>'Assumptions'!D43</x:f>
        <x:v>2</x:v>
      </x:c>
      <x:c r="I12" s="75" t="n">
        <x:f>D12*B12^2+F12*B12+H12</x:f>
        <x:v>2.9</x:v>
      </x:c>
    </x:row>
    <x:row r="13">
      <x:c r="A13" s="29"/>
      <x:c r="B13" s="29"/>
      <x:c r="C13" s="29"/>
      <x:c r="D13" s="29"/>
      <x:c r="E13" s="29"/>
      <x:c r="F13" s="29"/>
      <x:c r="G13" s="29"/>
      <x:c r="H13" s="29"/>
      <x:c r="I13" s="29"/>
    </x:row>
    <x:row r="14" ht="34" customHeight="1">
      <x:c r="A14" s="68" t="str">
        <x:v>Example: End Y3 teams = Beta teams × 90%^3 + Y1 new × 90%^2 + Y2 new × 90% + Y3 new. Revenue timing remains monthly in the operating tabs.</x:v>
      </x:c>
      <x:c r="B14" s="68" t="str">
        <x:v>Example: End Y3 teams = Beta teams × 90%^3 + Y1 new × 90%^2 + Y2 new × 90% + Y3 new. Revenue timing remains monthly in the operating tabs.</x:v>
      </x:c>
      <x:c r="C14" s="68" t="str">
        <x:v>Example: End Y3 teams = Beta teams × 90%^3 + Y1 new × 90%^2 + Y2 new × 90% + Y3 new. Revenue timing remains monthly in the operating tabs.</x:v>
      </x:c>
      <x:c r="D14" s="68" t="str">
        <x:v>Example: End Y3 teams = Beta teams × 90%^3 + Y1 new × 90%^2 + Y2 new × 90% + Y3 new. Revenue timing remains monthly in the operating tabs.</x:v>
      </x:c>
      <x:c r="E14" s="68" t="str">
        <x:v>Example: End Y3 teams = Beta teams × 90%^3 + Y1 new × 90%^2 + Y2 new × 90% + Y3 new. Revenue timing remains monthly in the operating tabs.</x:v>
      </x:c>
      <x:c r="F14" s="68" t="str">
        <x:v>Example: End Y3 teams = Beta teams × 90%^3 + Y1 new × 90%^2 + Y2 new × 90% + Y3 new. Revenue timing remains monthly in the operating tabs.</x:v>
      </x:c>
      <x:c r="G14" s="68" t="str">
        <x:v>Example: End Y3 teams = Beta teams × 90%^3 + Y1 new × 90%^2 + Y2 new × 90% + Y3 new. Revenue timing remains monthly in the operating tabs.</x:v>
      </x:c>
      <x:c r="H14" s="68" t="str">
        <x:v>Example: End Y3 teams = Beta teams × 90%^3 + Y1 new × 90%^2 + Y2 new × 90% + Y3 new. Revenue timing remains monthly in the operating tabs.</x:v>
      </x:c>
      <x:c r="I14" s="68" t="str">
        <x:v>Example: End Y3 teams = Beta teams × 90%^3 + Y1 new × 90%^2 + Y2 new × 90% + Y3 new. Revenue timing remains monthly in the operating tabs.</x:v>
      </x:c>
    </x:row>
  </x:sheetData>
  <x:mergeCells>
    <x:mergeCell ref="A1:I1"/>
    <x:mergeCell ref="A2:I2"/>
    <x:mergeCell ref="A14:I1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1" hidden="0" customWidth="1"/>
    <x:col min="3" max="3" width="11" hidden="0" customWidth="1"/>
    <x:col min="4" max="4" width="11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</x:cols>
  <x:sheetData>
    <x:row r="1" ht="28" customHeight="1">
      <x:c r="A1" s="19" t="str">
        <x:v>Calculation Schedule · MIMAR Core</x:v>
      </x:c>
      <x:c r="B1" s="19" t="str">
        <x:v>MIMAR Core — Monthly Commercial Cohort Build</x:v>
      </x:c>
      <x:c r="C1" s="19" t="str">
        <x:v>MIMAR Core — Monthly Commercial Cohort Build</x:v>
      </x:c>
      <x:c r="D1" s="19" t="str">
        <x:v>MIMAR Core — Monthly Commercial Cohort Build</x:v>
      </x:c>
      <x:c r="E1" s="19" t="str">
        <x:v>MIMAR Core — Monthly Commercial Cohort Build</x:v>
      </x:c>
      <x:c r="F1" s="19" t="str">
        <x:v>MIMAR Core — Monthly Commercial Cohort Build</x:v>
      </x:c>
      <x:c r="G1" s="19" t="str">
        <x:v>MIMAR Core — Monthly Commercial Cohort Build</x:v>
      </x:c>
      <x:c r="H1" s="19" t="str">
        <x:v>MIMAR Core — Monthly Commercial Cohort Build</x:v>
      </x:c>
      <x:c r="I1" s="19" t="str">
        <x:v>MIMAR Core — Monthly Commercial Cohort Build</x:v>
      </x:c>
      <x:c r="J1" s="19" t="str">
        <x:v>MIMAR Core — Monthly Commercial Cohort Build</x:v>
      </x:c>
      <x:c r="K1" s="19" t="str">
        <x:v>MIMAR Core — Monthly Commercial Cohort Build</x:v>
      </x:c>
      <x:c r="L1" s="19" t="str">
        <x:v>MIMAR Core — Monthly Commercial Cohort Build</x:v>
      </x:c>
      <x:c r="M1" s="19" t="str">
        <x:v>MIMAR Core — Monthly Commercial Cohort Build</x:v>
      </x:c>
      <x:c r="N1" s="19" t="str">
        <x:v>MIMAR Core — Monthly Commercial Cohort Build</x:v>
      </x:c>
      <x:c r="O1" s="19" t="str">
        <x:v>MIMAR Core — Monthly Commercial Cohort Build</x:v>
      </x:c>
      <x:c r="P1" s="19" t="str">
        <x:v>MIMAR Core — Monthly Commercial Cohort Build</x:v>
      </x:c>
      <x:c r="Q1" s="19" t="str">
        <x:v>MIMAR Core — Monthly Commercial Cohort Build</x:v>
      </x:c>
      <x:c r="R1" s="19" t="str">
        <x:v>MIMAR Core — Monthly Commercial Cohort Build</x:v>
      </x:c>
      <x:c r="S1" s="19" t="str">
        <x:v>MIMAR Core — Monthly Commercial Cohort Build</x:v>
      </x:c>
      <x:c r="T1" s="19" t="str">
        <x:v>MIMAR Core — Monthly Commercial Cohort Build</x:v>
      </x:c>
      <x:c r="U1" s="19" t="str">
        <x:v>MIMAR Core — Monthly Commercial Cohort Build</x:v>
      </x:c>
    </x:row>
    <x:row r="2" ht="25" customHeight="1">
      <x:c r="A2" s="20" t="str">
        <x:v>Monthly cohort engine supporting the annual Core forecast</x:v>
      </x:c>
      <x:c r="B2" s="20" t="str">
        <x:v>May 2027–Apr 2030. Beta carry is tracked separately from commercial acquisition and renews on its original contract dates.</x:v>
      </x:c>
      <x:c r="C2" s="20" t="str">
        <x:v>May 2027–Apr 2030. Beta carry is tracked separately from commercial acquisition and renews on its original contract dates.</x:v>
      </x:c>
      <x:c r="D2" s="20" t="str">
        <x:v>May 2027–Apr 2030. Beta carry is tracked separately from commercial acquisition and renews on its original contract dates.</x:v>
      </x:c>
      <x:c r="E2" s="20" t="str">
        <x:v>May 2027–Apr 2030. Beta carry is tracked separately from commercial acquisition and renews on its original contract dates.</x:v>
      </x:c>
      <x:c r="F2" s="20" t="str">
        <x:v>May 2027–Apr 2030. Beta carry is tracked separately from commercial acquisition and renews on its original contract dates.</x:v>
      </x:c>
      <x:c r="G2" s="20" t="str">
        <x:v>May 2027–Apr 2030. Beta carry is tracked separately from commercial acquisition and renews on its original contract dates.</x:v>
      </x:c>
      <x:c r="H2" s="20" t="str">
        <x:v>May 2027–Apr 2030. Beta carry is tracked separately from commercial acquisition and renews on its original contract dates.</x:v>
      </x:c>
      <x:c r="I2" s="20" t="str">
        <x:v>May 2027–Apr 2030. Beta carry is tracked separately from commercial acquisition and renews on its original contract dates.</x:v>
      </x:c>
      <x:c r="J2" s="20" t="str">
        <x:v>May 2027–Apr 2030. Beta carry is tracked separately from commercial acquisition and renews on its original contract dates.</x:v>
      </x:c>
      <x:c r="K2" s="20" t="str">
        <x:v>May 2027–Apr 2030. Beta carry is tracked separately from commercial acquisition and renews on its original contract dates.</x:v>
      </x:c>
      <x:c r="L2" s="20" t="str">
        <x:v>May 2027–Apr 2030. Beta carry is tracked separately from commercial acquisition and renews on its original contract dates.</x:v>
      </x:c>
      <x:c r="M2" s="20" t="str">
        <x:v>May 2027–Apr 2030. Beta carry is tracked separately from commercial acquisition and renews on its original contract dates.</x:v>
      </x:c>
      <x:c r="N2" s="20" t="str">
        <x:v>May 2027–Apr 2030. Beta carry is tracked separately from commercial acquisition and renews on its original contract dates.</x:v>
      </x:c>
      <x:c r="O2" s="20" t="str">
        <x:v>May 2027–Apr 2030. Beta carry is tracked separately from commercial acquisition and renews on its original contract dates.</x:v>
      </x:c>
      <x:c r="P2" s="20" t="str">
        <x:v>May 2027–Apr 2030. Beta carry is tracked separately from commercial acquisition and renews on its original contract dates.</x:v>
      </x:c>
      <x:c r="Q2" s="20" t="str">
        <x:v>May 2027–Apr 2030. Beta carry is tracked separately from commercial acquisition and renews on its original contract dates.</x:v>
      </x:c>
      <x:c r="R2" s="20" t="str">
        <x:v>May 2027–Apr 2030. Beta carry is tracked separately from commercial acquisition and renews on its original contract dates.</x:v>
      </x:c>
      <x:c r="S2" s="20" t="str">
        <x:v>May 2027–Apr 2030. Beta carry is tracked separately from commercial acquisition and renews on its original contract dates.</x:v>
      </x:c>
      <x:c r="T2" s="20" t="str">
        <x:v>May 2027–Apr 2030. Beta carry is tracked separately from commercial acquisition and renews on its original contract dates.</x:v>
      </x:c>
      <x:c r="U2" s="20" t="str">
        <x:v>May 2027–Apr 2030. Beta carry is tracked separately from commercial acquisition and renews on its original contract dates.</x:v>
      </x:c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  <x:c r="M3" s="29"/>
      <x:c r="N3" s="29"/>
      <x:c r="O3" s="29"/>
      <x:c r="P3" s="29"/>
      <x:c r="Q3" s="29"/>
      <x:c r="R3" s="29"/>
      <x:c r="S3" s="29"/>
      <x:c r="T3" s="29"/>
      <x:c r="U3" s="29"/>
    </x:row>
    <x:row r="4" ht="27" customHeight="1">
      <x:c r="A4" s="22" t="str">
        <x:v>Month</x:v>
      </x:c>
      <x:c r="B4" s="22" t="str">
        <x:v>Year</x:v>
      </x:c>
      <x:c r="C4" s="22" t="str">
        <x:v>Month in year</x:v>
      </x:c>
      <x:c r="D4" s="22" t="str">
        <x:v>Global month</x:v>
      </x:c>
      <x:c r="E4" s="22" t="str">
        <x:v>Beta indiv. active</x:v>
      </x:c>
      <x:c r="F4" s="22" t="str">
        <x:v>Beta indiv. rev.</x:v>
      </x:c>
      <x:c r="G4" s="22" t="str">
        <x:v>Commercial indiv. active</x:v>
      </x:c>
      <x:c r="H4" s="22" t="str">
        <x:v>Commercial indiv. rev.</x:v>
      </x:c>
      <x:c r="I4" s="22" t="str">
        <x:v>Beta team accts</x:v>
      </x:c>
      <x:c r="J4" s="22" t="str">
        <x:v>Beta team rev.</x:v>
      </x:c>
      <x:c r="K4" s="22" t="str">
        <x:v>Commercial team accts</x:v>
      </x:c>
      <x:c r="L4" s="22" t="str">
        <x:v>Commercial team rev.</x:v>
      </x:c>
      <x:c r="M4" s="22" t="str">
        <x:v>Enterprise accts</x:v>
      </x:c>
      <x:c r="N4" s="22" t="str">
        <x:v>Enterprise rev.</x:v>
      </x:c>
      <x:c r="O4" s="22" t="str">
        <x:v>API wallets</x:v>
      </x:c>
      <x:c r="P4" s="22" t="str">
        <x:v>API rev.</x:v>
      </x:c>
      <x:c r="Q4" s="22" t="str">
        <x:v>New B2B accts</x:v>
      </x:c>
      <x:c r="R4" s="22" t="str">
        <x:v>Onboarding rev.</x:v>
      </x:c>
      <x:c r="S4" s="22" t="str">
        <x:v>CORE REVENUE</x:v>
      </x:c>
      <x:c r="T4" s="22" t="str">
        <x:v>COGS</x:v>
      </x:c>
      <x:c r="U4" s="22" t="str">
        <x:v>GROSS PROFIT</x:v>
      </x:c>
    </x:row>
    <x:row r="5">
      <x:c r="A5" s="74" t="n">
        <x:v>46508</x:v>
      </x:c>
      <x:c r="B5" s="29" t="n">
        <x:v>1</x:v>
      </x:c>
      <x:c r="C5" s="29" t="n">
        <x:v>1</x:v>
      </x:c>
      <x:c r="D5" s="29" t="n">
        <x:v>1</x:v>
      </x:c>
      <x:c r="E5" s="75" t="n">
        <x:f>'Assumptions'!$B$8*POWER('Assumptions'!$B$15,INT((D5+11-'Assumptions'!$B$17)/12))+'Assumptions'!$B$9*POWER('Assumptions'!$B$15,INT((D5+11-'Assumptions'!$B$18)/12))</x:f>
        <x:v>30</x:v>
      </x:c>
      <x:c r="F5" s="76" t="n">
        <x:f>E5*'Assumptions'!$B$10/12</x:f>
        <x:v>475</x:v>
      </x:c>
      <x:c r="G5" s="75" t="n">
        <x:f>'Assumptions'!$B$20*C5/12</x:f>
        <x:v>8.333333333333334</x:v>
      </x:c>
      <x:c r="H5" s="76" t="n">
        <x:f>G5*'Assumptions'!$B$22</x:f>
        <x:v>133.33333333333334</x:v>
      </x:c>
      <x:c r="I5" s="75" t="n">
        <x:f>'Assumptions'!$B$11*POWER('Assumptions'!$B$16,INT((D5+11-'Assumptions'!$B$17)/12))+'Assumptions'!$B$12*POWER('Assumptions'!$B$16,INT((D5+11-'Assumptions'!$B$18)/12))</x:f>
        <x:v>2</x:v>
      </x:c>
      <x:c r="J5" s="76" t="n">
        <x:f>I5*'Assumptions'!$B$13*'Assumptions'!$B$14/12</x:f>
        <x:v>120</x:v>
      </x:c>
      <x:c r="K5" s="75" t="n">
        <x:f>'Assumptions'!$B$23*C5/12</x:f>
        <x:v>1.6666666666666667</x:v>
      </x:c>
      <x:c r="L5" s="76" t="n">
        <x:f>K5*'Assumptions'!$B$25*'Assumptions'!$B$26</x:f>
        <x:v>266.6666666666667</x:v>
      </x:c>
      <x:c r="M5" s="75" t="n">
        <x:f>'Assumptions'!$B$27*C5/12</x:f>
        <x:v>0</x:v>
      </x:c>
      <x:c r="N5" s="76" t="n">
        <x:f>M5*'Assumptions'!$B$28/12</x:f>
        <x:v>0</x:v>
      </x:c>
      <x:c r="O5" s="75" t="n">
        <x:f>'Assumptions'!$B$29*C5/12</x:f>
        <x:v>1.6666666666666667</x:v>
      </x:c>
      <x:c r="P5" s="76" t="n">
        <x:f>O5*'Assumptions'!$B$31</x:f>
        <x:v>50</x:v>
      </x:c>
      <x:c r="Q5" s="75" t="n">
        <x:f>('Assumptions'!$B$23+'Assumptions'!$B$27)/12</x:f>
        <x:v>1.6666666666666667</x:v>
      </x:c>
      <x:c r="R5" s="76" t="n">
        <x:f>Q5*'Assumptions'!$B$32</x:f>
        <x:v>1666.6666666666667</x:v>
      </x:c>
      <x:c r="S5" s="76" t="n">
        <x:f>SUM(F5,H5,J5,L5,N5,P5,R5)</x:f>
        <x:v>2711.666666666667</x:v>
      </x:c>
      <x:c r="T5" s="76" t="n">
        <x:f>(F5+H5+J5+L5+N5)*'Assumptions'!$B$33+P5*'Assumptions'!$B$34+R5*'Assumptions'!$B$35</x:f>
        <x:v>1539.9166666666667</x:v>
      </x:c>
      <x:c r="U5" s="76" t="n">
        <x:f>S5-T5</x:f>
        <x:v>1171.7500000000002</x:v>
      </x:c>
    </x:row>
    <x:row r="6">
      <x:c r="A6" s="74" t="n">
        <x:v>46539</x:v>
      </x:c>
      <x:c r="B6" s="29" t="n">
        <x:v>1</x:v>
      </x:c>
      <x:c r="C6" s="29" t="n">
        <x:v>2</x:v>
      </x:c>
      <x:c r="D6" s="29" t="n">
        <x:v>2</x:v>
      </x:c>
      <x:c r="E6" s="75" t="n">
        <x:f>'Assumptions'!$B$8*POWER('Assumptions'!$B$15,INT((D6+11-'Assumptions'!$B$17)/12))+'Assumptions'!$B$9*POWER('Assumptions'!$B$15,INT((D6+11-'Assumptions'!$B$18)/12))</x:f>
        <x:v>30</x:v>
      </x:c>
      <x:c r="F6" s="76" t="n">
        <x:f>E6*'Assumptions'!$B$10/12</x:f>
        <x:v>475</x:v>
      </x:c>
      <x:c r="G6" s="75" t="n">
        <x:f>'Assumptions'!$B$20*C6/12</x:f>
        <x:v>16.666666666666668</x:v>
      </x:c>
      <x:c r="H6" s="76" t="n">
        <x:f>G6*'Assumptions'!$B$22</x:f>
        <x:v>266.6666666666667</x:v>
      </x:c>
      <x:c r="I6" s="75" t="n">
        <x:f>'Assumptions'!$B$11*POWER('Assumptions'!$B$16,INT((D6+11-'Assumptions'!$B$17)/12))+'Assumptions'!$B$12*POWER('Assumptions'!$B$16,INT((D6+11-'Assumptions'!$B$18)/12))</x:f>
        <x:v>2</x:v>
      </x:c>
      <x:c r="J6" s="76" t="n">
        <x:f>I6*'Assumptions'!$B$13*'Assumptions'!$B$14/12</x:f>
        <x:v>120</x:v>
      </x:c>
      <x:c r="K6" s="75" t="n">
        <x:f>'Assumptions'!$B$23*C6/12</x:f>
        <x:v>3.3333333333333335</x:v>
      </x:c>
      <x:c r="L6" s="76" t="n">
        <x:f>K6*'Assumptions'!$B$25*'Assumptions'!$B$26</x:f>
        <x:v>533.3333333333334</x:v>
      </x:c>
      <x:c r="M6" s="75" t="n">
        <x:f>'Assumptions'!$B$27*C6/12</x:f>
        <x:v>0</x:v>
      </x:c>
      <x:c r="N6" s="76" t="n">
        <x:f>M6*'Assumptions'!$B$28/12</x:f>
        <x:v>0</x:v>
      </x:c>
      <x:c r="O6" s="75" t="n">
        <x:f>'Assumptions'!$B$29*C6/12</x:f>
        <x:v>3.3333333333333335</x:v>
      </x:c>
      <x:c r="P6" s="76" t="n">
        <x:f>O6*'Assumptions'!$B$31</x:f>
        <x:v>100</x:v>
      </x:c>
      <x:c r="Q6" s="75" t="n">
        <x:f>('Assumptions'!$B$23+'Assumptions'!$B$27)/12</x:f>
        <x:v>1.6666666666666667</x:v>
      </x:c>
      <x:c r="R6" s="76" t="n">
        <x:f>Q6*'Assumptions'!$B$32</x:f>
        <x:v>1666.6666666666667</x:v>
      </x:c>
      <x:c r="S6" s="76" t="n">
        <x:f>SUM(F6,H6,J6,L6,N6,P6,R6)</x:f>
        <x:v>3161.666666666667</x:v>
      </x:c>
      <x:c r="T6" s="76" t="n">
        <x:f>(F6+H6+J6+L6+N6)*'Assumptions'!$B$33+P6*'Assumptions'!$B$34+R6*'Assumptions'!$B$35</x:f>
        <x:v>1704.9166666666667</x:v>
      </x:c>
      <x:c r="U6" s="76" t="n">
        <x:f>S6-T6</x:f>
        <x:v>1456.7500000000002</x:v>
      </x:c>
    </x:row>
    <x:row r="7">
      <x:c r="A7" s="74" t="n">
        <x:v>46569</x:v>
      </x:c>
      <x:c r="B7" s="29" t="n">
        <x:v>1</x:v>
      </x:c>
      <x:c r="C7" s="29" t="n">
        <x:v>3</x:v>
      </x:c>
      <x:c r="D7" s="29" t="n">
        <x:v>3</x:v>
      </x:c>
      <x:c r="E7" s="75" t="n">
        <x:f>'Assumptions'!$B$8*POWER('Assumptions'!$B$15,INT((D7+11-'Assumptions'!$B$17)/12))+'Assumptions'!$B$9*POWER('Assumptions'!$B$15,INT((D7+11-'Assumptions'!$B$18)/12))</x:f>
        <x:v>30</x:v>
      </x:c>
      <x:c r="F7" s="76" t="n">
        <x:f>E7*'Assumptions'!$B$10/12</x:f>
        <x:v>475</x:v>
      </x:c>
      <x:c r="G7" s="75" t="n">
        <x:f>'Assumptions'!$B$20*C7/12</x:f>
        <x:v>25</x:v>
      </x:c>
      <x:c r="H7" s="76" t="n">
        <x:f>G7*'Assumptions'!$B$22</x:f>
        <x:v>400</x:v>
      </x:c>
      <x:c r="I7" s="75" t="n">
        <x:f>'Assumptions'!$B$11*POWER('Assumptions'!$B$16,INT((D7+11-'Assumptions'!$B$17)/12))+'Assumptions'!$B$12*POWER('Assumptions'!$B$16,INT((D7+11-'Assumptions'!$B$18)/12))</x:f>
        <x:v>2</x:v>
      </x:c>
      <x:c r="J7" s="76" t="n">
        <x:f>I7*'Assumptions'!$B$13*'Assumptions'!$B$14/12</x:f>
        <x:v>120</x:v>
      </x:c>
      <x:c r="K7" s="75" t="n">
        <x:f>'Assumptions'!$B$23*C7/12</x:f>
        <x:v>5</x:v>
      </x:c>
      <x:c r="L7" s="76" t="n">
        <x:f>K7*'Assumptions'!$B$25*'Assumptions'!$B$26</x:f>
        <x:v>800</x:v>
      </x:c>
      <x:c r="M7" s="75" t="n">
        <x:f>'Assumptions'!$B$27*C7/12</x:f>
        <x:v>0</x:v>
      </x:c>
      <x:c r="N7" s="76" t="n">
        <x:f>M7*'Assumptions'!$B$28/12</x:f>
        <x:v>0</x:v>
      </x:c>
      <x:c r="O7" s="75" t="n">
        <x:f>'Assumptions'!$B$29*C7/12</x:f>
        <x:v>5</x:v>
      </x:c>
      <x:c r="P7" s="76" t="n">
        <x:f>O7*'Assumptions'!$B$31</x:f>
        <x:v>150</x:v>
      </x:c>
      <x:c r="Q7" s="75" t="n">
        <x:f>('Assumptions'!$B$23+'Assumptions'!$B$27)/12</x:f>
        <x:v>1.6666666666666667</x:v>
      </x:c>
      <x:c r="R7" s="76" t="n">
        <x:f>Q7*'Assumptions'!$B$32</x:f>
        <x:v>1666.6666666666667</x:v>
      </x:c>
      <x:c r="S7" s="76" t="n">
        <x:f>SUM(F7,H7,J7,L7,N7,P7,R7)</x:f>
        <x:v>3611.666666666667</x:v>
      </x:c>
      <x:c r="T7" s="76" t="n">
        <x:f>(F7+H7+J7+L7+N7)*'Assumptions'!$B$33+P7*'Assumptions'!$B$34+R7*'Assumptions'!$B$35</x:f>
        <x:v>1869.9166666666667</x:v>
      </x:c>
      <x:c r="U7" s="76" t="n">
        <x:f>S7-T7</x:f>
        <x:v>1741.7500000000002</x:v>
      </x:c>
    </x:row>
    <x:row r="8">
      <x:c r="A8" s="74" t="n">
        <x:v>46600</x:v>
      </x:c>
      <x:c r="B8" s="29" t="n">
        <x:v>1</x:v>
      </x:c>
      <x:c r="C8" s="29" t="n">
        <x:v>4</x:v>
      </x:c>
      <x:c r="D8" s="29" t="n">
        <x:v>4</x:v>
      </x:c>
      <x:c r="E8" s="75" t="n">
        <x:f>'Assumptions'!$B$8*POWER('Assumptions'!$B$15,INT((D8+11-'Assumptions'!$B$17)/12))+'Assumptions'!$B$9*POWER('Assumptions'!$B$15,INT((D8+11-'Assumptions'!$B$18)/12))</x:f>
        <x:v>30</x:v>
      </x:c>
      <x:c r="F8" s="76" t="n">
        <x:f>E8*'Assumptions'!$B$10/12</x:f>
        <x:v>475</x:v>
      </x:c>
      <x:c r="G8" s="75" t="n">
        <x:f>'Assumptions'!$B$20*C8/12</x:f>
        <x:v>33.333333333333336</x:v>
      </x:c>
      <x:c r="H8" s="76" t="n">
        <x:f>G8*'Assumptions'!$B$22</x:f>
        <x:v>533.3333333333334</x:v>
      </x:c>
      <x:c r="I8" s="75" t="n">
        <x:f>'Assumptions'!$B$11*POWER('Assumptions'!$B$16,INT((D8+11-'Assumptions'!$B$17)/12))+'Assumptions'!$B$12*POWER('Assumptions'!$B$16,INT((D8+11-'Assumptions'!$B$18)/12))</x:f>
        <x:v>2</x:v>
      </x:c>
      <x:c r="J8" s="76" t="n">
        <x:f>I8*'Assumptions'!$B$13*'Assumptions'!$B$14/12</x:f>
        <x:v>120</x:v>
      </x:c>
      <x:c r="K8" s="75" t="n">
        <x:f>'Assumptions'!$B$23*C8/12</x:f>
        <x:v>6.666666666666667</x:v>
      </x:c>
      <x:c r="L8" s="76" t="n">
        <x:f>K8*'Assumptions'!$B$25*'Assumptions'!$B$26</x:f>
        <x:v>1066.6666666666667</x:v>
      </x:c>
      <x:c r="M8" s="75" t="n">
        <x:f>'Assumptions'!$B$27*C8/12</x:f>
        <x:v>0</x:v>
      </x:c>
      <x:c r="N8" s="76" t="n">
        <x:f>M8*'Assumptions'!$B$28/12</x:f>
        <x:v>0</x:v>
      </x:c>
      <x:c r="O8" s="75" t="n">
        <x:f>'Assumptions'!$B$29*C8/12</x:f>
        <x:v>6.666666666666667</x:v>
      </x:c>
      <x:c r="P8" s="76" t="n">
        <x:f>O8*'Assumptions'!$B$31</x:f>
        <x:v>200</x:v>
      </x:c>
      <x:c r="Q8" s="75" t="n">
        <x:f>('Assumptions'!$B$23+'Assumptions'!$B$27)/12</x:f>
        <x:v>1.6666666666666667</x:v>
      </x:c>
      <x:c r="R8" s="76" t="n">
        <x:f>Q8*'Assumptions'!$B$32</x:f>
        <x:v>1666.6666666666667</x:v>
      </x:c>
      <x:c r="S8" s="76" t="n">
        <x:f>SUM(F8,H8,J8,L8,N8,P8,R8)</x:f>
        <x:v>4061.666666666667</x:v>
      </x:c>
      <x:c r="T8" s="76" t="n">
        <x:f>(F8+H8+J8+L8+N8)*'Assumptions'!$B$33+P8*'Assumptions'!$B$34+R8*'Assumptions'!$B$35</x:f>
        <x:v>2034.9166666666667</x:v>
      </x:c>
      <x:c r="U8" s="76" t="n">
        <x:f>S8-T8</x:f>
        <x:v>2026.7500000000002</x:v>
      </x:c>
    </x:row>
    <x:row r="9">
      <x:c r="A9" s="74" t="n">
        <x:v>46631</x:v>
      </x:c>
      <x:c r="B9" s="29" t="n">
        <x:v>1</x:v>
      </x:c>
      <x:c r="C9" s="29" t="n">
        <x:v>5</x:v>
      </x:c>
      <x:c r="D9" s="29" t="n">
        <x:v>5</x:v>
      </x:c>
      <x:c r="E9" s="75" t="n">
        <x:f>'Assumptions'!$B$8*POWER('Assumptions'!$B$15,INT((D9+11-'Assumptions'!$B$17)/12))+'Assumptions'!$B$9*POWER('Assumptions'!$B$15,INT((D9+11-'Assumptions'!$B$18)/12))</x:f>
        <x:v>30</x:v>
      </x:c>
      <x:c r="F9" s="76" t="n">
        <x:f>E9*'Assumptions'!$B$10/12</x:f>
        <x:v>475</x:v>
      </x:c>
      <x:c r="G9" s="75" t="n">
        <x:f>'Assumptions'!$B$20*C9/12</x:f>
        <x:v>41.666666666666664</x:v>
      </x:c>
      <x:c r="H9" s="76" t="n">
        <x:f>G9*'Assumptions'!$B$22</x:f>
        <x:v>666.6666666666666</x:v>
      </x:c>
      <x:c r="I9" s="75" t="n">
        <x:f>'Assumptions'!$B$11*POWER('Assumptions'!$B$16,INT((D9+11-'Assumptions'!$B$17)/12))+'Assumptions'!$B$12*POWER('Assumptions'!$B$16,INT((D9+11-'Assumptions'!$B$18)/12))</x:f>
        <x:v>2</x:v>
      </x:c>
      <x:c r="J9" s="76" t="n">
        <x:f>I9*'Assumptions'!$B$13*'Assumptions'!$B$14/12</x:f>
        <x:v>120</x:v>
      </x:c>
      <x:c r="K9" s="75" t="n">
        <x:f>'Assumptions'!$B$23*C9/12</x:f>
        <x:v>8.333333333333334</x:v>
      </x:c>
      <x:c r="L9" s="76" t="n">
        <x:f>K9*'Assumptions'!$B$25*'Assumptions'!$B$26</x:f>
        <x:v>1333.3333333333335</x:v>
      </x:c>
      <x:c r="M9" s="75" t="n">
        <x:f>'Assumptions'!$B$27*C9/12</x:f>
        <x:v>0</x:v>
      </x:c>
      <x:c r="N9" s="76" t="n">
        <x:f>M9*'Assumptions'!$B$28/12</x:f>
        <x:v>0</x:v>
      </x:c>
      <x:c r="O9" s="75" t="n">
        <x:f>'Assumptions'!$B$29*C9/12</x:f>
        <x:v>8.333333333333334</x:v>
      </x:c>
      <x:c r="P9" s="76" t="n">
        <x:f>O9*'Assumptions'!$B$31</x:f>
        <x:v>250.00000000000003</x:v>
      </x:c>
      <x:c r="Q9" s="75" t="n">
        <x:f>('Assumptions'!$B$23+'Assumptions'!$B$27)/12</x:f>
        <x:v>1.6666666666666667</x:v>
      </x:c>
      <x:c r="R9" s="76" t="n">
        <x:f>Q9*'Assumptions'!$B$32</x:f>
        <x:v>1666.6666666666667</x:v>
      </x:c>
      <x:c r="S9" s="76" t="n">
        <x:f>SUM(F9,H9,J9,L9,N9,P9,R9)</x:f>
        <x:v>4511.666666666667</x:v>
      </x:c>
      <x:c r="T9" s="76" t="n">
        <x:f>(F9+H9+J9+L9+N9)*'Assumptions'!$B$33+P9*'Assumptions'!$B$34+R9*'Assumptions'!$B$35</x:f>
        <x:v>2199.916666666667</x:v>
      </x:c>
      <x:c r="U9" s="76" t="n">
        <x:f>S9-T9</x:f>
        <x:v>2311.75</x:v>
      </x:c>
    </x:row>
    <x:row r="10">
      <x:c r="A10" s="74" t="n">
        <x:v>46661</x:v>
      </x:c>
      <x:c r="B10" s="29" t="n">
        <x:v>1</x:v>
      </x:c>
      <x:c r="C10" s="29" t="n">
        <x:v>6</x:v>
      </x:c>
      <x:c r="D10" s="29" t="n">
        <x:v>6</x:v>
      </x:c>
      <x:c r="E10" s="75" t="n">
        <x:f>'Assumptions'!$B$8*POWER('Assumptions'!$B$15,INT((D10+11-'Assumptions'!$B$17)/12))+'Assumptions'!$B$9*POWER('Assumptions'!$B$15,INT((D10+11-'Assumptions'!$B$18)/12))</x:f>
        <x:v>30</x:v>
      </x:c>
      <x:c r="F10" s="76" t="n">
        <x:f>E10*'Assumptions'!$B$10/12</x:f>
        <x:v>475</x:v>
      </x:c>
      <x:c r="G10" s="75" t="n">
        <x:f>'Assumptions'!$B$20*C10/12</x:f>
        <x:v>50</x:v>
      </x:c>
      <x:c r="H10" s="76" t="n">
        <x:f>G10*'Assumptions'!$B$22</x:f>
        <x:v>800</x:v>
      </x:c>
      <x:c r="I10" s="75" t="n">
        <x:f>'Assumptions'!$B$11*POWER('Assumptions'!$B$16,INT((D10+11-'Assumptions'!$B$17)/12))+'Assumptions'!$B$12*POWER('Assumptions'!$B$16,INT((D10+11-'Assumptions'!$B$18)/12))</x:f>
        <x:v>2</x:v>
      </x:c>
      <x:c r="J10" s="76" t="n">
        <x:f>I10*'Assumptions'!$B$13*'Assumptions'!$B$14/12</x:f>
        <x:v>120</x:v>
      </x:c>
      <x:c r="K10" s="75" t="n">
        <x:f>'Assumptions'!$B$23*C10/12</x:f>
        <x:v>10</x:v>
      </x:c>
      <x:c r="L10" s="76" t="n">
        <x:f>K10*'Assumptions'!$B$25*'Assumptions'!$B$26</x:f>
        <x:v>1600</x:v>
      </x:c>
      <x:c r="M10" s="75" t="n">
        <x:f>'Assumptions'!$B$27*C10/12</x:f>
        <x:v>0</x:v>
      </x:c>
      <x:c r="N10" s="76" t="n">
        <x:f>M10*'Assumptions'!$B$28/12</x:f>
        <x:v>0</x:v>
      </x:c>
      <x:c r="O10" s="75" t="n">
        <x:f>'Assumptions'!$B$29*C10/12</x:f>
        <x:v>10</x:v>
      </x:c>
      <x:c r="P10" s="76" t="n">
        <x:f>O10*'Assumptions'!$B$31</x:f>
        <x:v>300</x:v>
      </x:c>
      <x:c r="Q10" s="75" t="n">
        <x:f>('Assumptions'!$B$23+'Assumptions'!$B$27)/12</x:f>
        <x:v>1.6666666666666667</x:v>
      </x:c>
      <x:c r="R10" s="76" t="n">
        <x:f>Q10*'Assumptions'!$B$32</x:f>
        <x:v>1666.6666666666667</x:v>
      </x:c>
      <x:c r="S10" s="76" t="n">
        <x:f>SUM(F10,H10,J10,L10,N10,P10,R10)</x:f>
        <x:v>4961.666666666667</x:v>
      </x:c>
      <x:c r="T10" s="76" t="n">
        <x:f>(F10+H10+J10+L10+N10)*'Assumptions'!$B$33+P10*'Assumptions'!$B$34+R10*'Assumptions'!$B$35</x:f>
        <x:v>2364.916666666667</x:v>
      </x:c>
      <x:c r="U10" s="76" t="n">
        <x:f>S10-T10</x:f>
        <x:v>2596.75</x:v>
      </x:c>
    </x:row>
    <x:row r="11">
      <x:c r="A11" s="74" t="n">
        <x:v>46692</x:v>
      </x:c>
      <x:c r="B11" s="29" t="n">
        <x:v>1</x:v>
      </x:c>
      <x:c r="C11" s="29" t="n">
        <x:v>7</x:v>
      </x:c>
      <x:c r="D11" s="29" t="n">
        <x:v>7</x:v>
      </x:c>
      <x:c r="E11" s="75" t="n">
        <x:f>'Assumptions'!$B$8*POWER('Assumptions'!$B$15,INT((D11+11-'Assumptions'!$B$17)/12))+'Assumptions'!$B$9*POWER('Assumptions'!$B$15,INT((D11+11-'Assumptions'!$B$18)/12))</x:f>
        <x:v>25.2</x:v>
      </x:c>
      <x:c r="F11" s="76" t="n">
        <x:f>E11*'Assumptions'!$B$10/12</x:f>
        <x:v>399</x:v>
      </x:c>
      <x:c r="G11" s="75" t="n">
        <x:f>'Assumptions'!$B$20*C11/12</x:f>
        <x:v>58.333333333333336</x:v>
      </x:c>
      <x:c r="H11" s="76" t="n">
        <x:f>G11*'Assumptions'!$B$22</x:f>
        <x:v>933.3333333333334</x:v>
      </x:c>
      <x:c r="I11" s="75" t="n">
        <x:f>'Assumptions'!$B$11*POWER('Assumptions'!$B$16,INT((D11+11-'Assumptions'!$B$17)/12))+'Assumptions'!$B$12*POWER('Assumptions'!$B$16,INT((D11+11-'Assumptions'!$B$18)/12))</x:f>
        <x:v>1.8</x:v>
      </x:c>
      <x:c r="J11" s="76" t="n">
        <x:f>I11*'Assumptions'!$B$13*'Assumptions'!$B$14/12</x:f>
        <x:v>108</x:v>
      </x:c>
      <x:c r="K11" s="75" t="n">
        <x:f>'Assumptions'!$B$23*C11/12</x:f>
        <x:v>11.666666666666666</x:v>
      </x:c>
      <x:c r="L11" s="76" t="n">
        <x:f>K11*'Assumptions'!$B$25*'Assumptions'!$B$26</x:f>
        <x:v>1866.6666666666665</x:v>
      </x:c>
      <x:c r="M11" s="75" t="n">
        <x:f>'Assumptions'!$B$27*C11/12</x:f>
        <x:v>0</x:v>
      </x:c>
      <x:c r="N11" s="76" t="n">
        <x:f>M11*'Assumptions'!$B$28/12</x:f>
        <x:v>0</x:v>
      </x:c>
      <x:c r="O11" s="75" t="n">
        <x:f>'Assumptions'!$B$29*C11/12</x:f>
        <x:v>11.666666666666666</x:v>
      </x:c>
      <x:c r="P11" s="76" t="n">
        <x:f>O11*'Assumptions'!$B$31</x:f>
        <x:v>350</x:v>
      </x:c>
      <x:c r="Q11" s="75" t="n">
        <x:f>('Assumptions'!$B$23+'Assumptions'!$B$27)/12</x:f>
        <x:v>1.6666666666666667</x:v>
      </x:c>
      <x:c r="R11" s="76" t="n">
        <x:f>Q11*'Assumptions'!$B$32</x:f>
        <x:v>1666.6666666666667</x:v>
      </x:c>
      <x:c r="S11" s="76" t="n">
        <x:f>SUM(F11,H11,J11,L11,N11,P11,R11)</x:f>
        <x:v>5323.666666666667</x:v>
      </x:c>
      <x:c r="T11" s="76" t="n">
        <x:f>(F11+H11+J11+L11+N11)*'Assumptions'!$B$33+P11*'Assumptions'!$B$34+R11*'Assumptions'!$B$35</x:f>
        <x:v>2499.116666666667</x:v>
      </x:c>
      <x:c r="U11" s="76" t="n">
        <x:f>S11-T11</x:f>
        <x:v>2824.55</x:v>
      </x:c>
    </x:row>
    <x:row r="12">
      <x:c r="A12" s="74" t="n">
        <x:v>46722</x:v>
      </x:c>
      <x:c r="B12" s="29" t="n">
        <x:v>1</x:v>
      </x:c>
      <x:c r="C12" s="29" t="n">
        <x:v>8</x:v>
      </x:c>
      <x:c r="D12" s="29" t="n">
        <x:v>8</x:v>
      </x:c>
      <x:c r="E12" s="75" t="n">
        <x:f>'Assumptions'!$B$8*POWER('Assumptions'!$B$15,INT((D12+11-'Assumptions'!$B$17)/12))+'Assumptions'!$B$9*POWER('Assumptions'!$B$15,INT((D12+11-'Assumptions'!$B$18)/12))</x:f>
        <x:v>25.2</x:v>
      </x:c>
      <x:c r="F12" s="76" t="n">
        <x:f>E12*'Assumptions'!$B$10/12</x:f>
        <x:v>399</x:v>
      </x:c>
      <x:c r="G12" s="75" t="n">
        <x:f>'Assumptions'!$B$20*C12/12</x:f>
        <x:v>66.66666666666667</x:v>
      </x:c>
      <x:c r="H12" s="76" t="n">
        <x:f>G12*'Assumptions'!$B$22</x:f>
        <x:v>1066.6666666666667</x:v>
      </x:c>
      <x:c r="I12" s="75" t="n">
        <x:f>'Assumptions'!$B$11*POWER('Assumptions'!$B$16,INT((D12+11-'Assumptions'!$B$17)/12))+'Assumptions'!$B$12*POWER('Assumptions'!$B$16,INT((D12+11-'Assumptions'!$B$18)/12))</x:f>
        <x:v>1.8</x:v>
      </x:c>
      <x:c r="J12" s="76" t="n">
        <x:f>I12*'Assumptions'!$B$13*'Assumptions'!$B$14/12</x:f>
        <x:v>108</x:v>
      </x:c>
      <x:c r="K12" s="75" t="n">
        <x:f>'Assumptions'!$B$23*C12/12</x:f>
        <x:v>13.333333333333334</x:v>
      </x:c>
      <x:c r="L12" s="76" t="n">
        <x:f>K12*'Assumptions'!$B$25*'Assumptions'!$B$26</x:f>
        <x:v>2133.3333333333335</x:v>
      </x:c>
      <x:c r="M12" s="75" t="n">
        <x:f>'Assumptions'!$B$27*C12/12</x:f>
        <x:v>0</x:v>
      </x:c>
      <x:c r="N12" s="76" t="n">
        <x:f>M12*'Assumptions'!$B$28/12</x:f>
        <x:v>0</x:v>
      </x:c>
      <x:c r="O12" s="75" t="n">
        <x:f>'Assumptions'!$B$29*C12/12</x:f>
        <x:v>13.333333333333334</x:v>
      </x:c>
      <x:c r="P12" s="76" t="n">
        <x:f>O12*'Assumptions'!$B$31</x:f>
        <x:v>400</x:v>
      </x:c>
      <x:c r="Q12" s="75" t="n">
        <x:f>('Assumptions'!$B$23+'Assumptions'!$B$27)/12</x:f>
        <x:v>1.6666666666666667</x:v>
      </x:c>
      <x:c r="R12" s="76" t="n">
        <x:f>Q12*'Assumptions'!$B$32</x:f>
        <x:v>1666.6666666666667</x:v>
      </x:c>
      <x:c r="S12" s="76" t="n">
        <x:f>SUM(F12,H12,J12,L12,N12,P12,R12)</x:f>
        <x:v>5773.666666666667</x:v>
      </x:c>
      <x:c r="T12" s="76" t="n">
        <x:f>(F12+H12+J12+L12+N12)*'Assumptions'!$B$33+P12*'Assumptions'!$B$34+R12*'Assumptions'!$B$35</x:f>
        <x:v>2664.116666666667</x:v>
      </x:c>
      <x:c r="U12" s="76" t="n">
        <x:f>S12-T12</x:f>
        <x:v>3109.55</x:v>
      </x:c>
    </x:row>
    <x:row r="13">
      <x:c r="A13" s="74" t="n">
        <x:v>46753</x:v>
      </x:c>
      <x:c r="B13" s="29" t="n">
        <x:v>1</x:v>
      </x:c>
      <x:c r="C13" s="29" t="n">
        <x:v>9</x:v>
      </x:c>
      <x:c r="D13" s="29" t="n">
        <x:v>9</x:v>
      </x:c>
      <x:c r="E13" s="75" t="n">
        <x:f>'Assumptions'!$B$8*POWER('Assumptions'!$B$15,INT((D13+11-'Assumptions'!$B$17)/12))+'Assumptions'!$B$9*POWER('Assumptions'!$B$15,INT((D13+11-'Assumptions'!$B$18)/12))</x:f>
        <x:v>25.2</x:v>
      </x:c>
      <x:c r="F13" s="76" t="n">
        <x:f>E13*'Assumptions'!$B$10/12</x:f>
        <x:v>399</x:v>
      </x:c>
      <x:c r="G13" s="75" t="n">
        <x:f>'Assumptions'!$B$20*C13/12</x:f>
        <x:v>75</x:v>
      </x:c>
      <x:c r="H13" s="76" t="n">
        <x:f>G13*'Assumptions'!$B$22</x:f>
        <x:v>1200</x:v>
      </x:c>
      <x:c r="I13" s="75" t="n">
        <x:f>'Assumptions'!$B$11*POWER('Assumptions'!$B$16,INT((D13+11-'Assumptions'!$B$17)/12))+'Assumptions'!$B$12*POWER('Assumptions'!$B$16,INT((D13+11-'Assumptions'!$B$18)/12))</x:f>
        <x:v>1.8</x:v>
      </x:c>
      <x:c r="J13" s="76" t="n">
        <x:f>I13*'Assumptions'!$B$13*'Assumptions'!$B$14/12</x:f>
        <x:v>108</x:v>
      </x:c>
      <x:c r="K13" s="75" t="n">
        <x:f>'Assumptions'!$B$23*C13/12</x:f>
        <x:v>15</x:v>
      </x:c>
      <x:c r="L13" s="76" t="n">
        <x:f>K13*'Assumptions'!$B$25*'Assumptions'!$B$26</x:f>
        <x:v>2400</x:v>
      </x:c>
      <x:c r="M13" s="75" t="n">
        <x:f>'Assumptions'!$B$27*C13/12</x:f>
        <x:v>0</x:v>
      </x:c>
      <x:c r="N13" s="76" t="n">
        <x:f>M13*'Assumptions'!$B$28/12</x:f>
        <x:v>0</x:v>
      </x:c>
      <x:c r="O13" s="75" t="n">
        <x:f>'Assumptions'!$B$29*C13/12</x:f>
        <x:v>15</x:v>
      </x:c>
      <x:c r="P13" s="76" t="n">
        <x:f>O13*'Assumptions'!$B$31</x:f>
        <x:v>450</x:v>
      </x:c>
      <x:c r="Q13" s="75" t="n">
        <x:f>('Assumptions'!$B$23+'Assumptions'!$B$27)/12</x:f>
        <x:v>1.6666666666666667</x:v>
      </x:c>
      <x:c r="R13" s="76" t="n">
        <x:f>Q13*'Assumptions'!$B$32</x:f>
        <x:v>1666.6666666666667</x:v>
      </x:c>
      <x:c r="S13" s="76" t="n">
        <x:f>SUM(F13,H13,J13,L13,N13,P13,R13)</x:f>
        <x:v>6223.666666666667</x:v>
      </x:c>
      <x:c r="T13" s="76" t="n">
        <x:f>(F13+H13+J13+L13+N13)*'Assumptions'!$B$33+P13*'Assumptions'!$B$34+R13*'Assumptions'!$B$35</x:f>
        <x:v>2829.116666666667</x:v>
      </x:c>
      <x:c r="U13" s="76" t="n">
        <x:f>S13-T13</x:f>
        <x:v>3394.55</x:v>
      </x:c>
    </x:row>
    <x:row r="14">
      <x:c r="A14" s="74" t="n">
        <x:v>46784</x:v>
      </x:c>
      <x:c r="B14" s="29" t="n">
        <x:v>1</x:v>
      </x:c>
      <x:c r="C14" s="29" t="n">
        <x:v>10</x:v>
      </x:c>
      <x:c r="D14" s="29" t="n">
        <x:v>10</x:v>
      </x:c>
      <x:c r="E14" s="75" t="n">
        <x:f>'Assumptions'!$B$8*POWER('Assumptions'!$B$15,INT((D14+11-'Assumptions'!$B$17)/12))+'Assumptions'!$B$9*POWER('Assumptions'!$B$15,INT((D14+11-'Assumptions'!$B$18)/12))</x:f>
        <x:v>25.2</x:v>
      </x:c>
      <x:c r="F14" s="76" t="n">
        <x:f>E14*'Assumptions'!$B$10/12</x:f>
        <x:v>399</x:v>
      </x:c>
      <x:c r="G14" s="75" t="n">
        <x:f>'Assumptions'!$B$20*C14/12</x:f>
        <x:v>83.33333333333333</x:v>
      </x:c>
      <x:c r="H14" s="76" t="n">
        <x:f>G14*'Assumptions'!$B$22</x:f>
        <x:v>1333.3333333333333</x:v>
      </x:c>
      <x:c r="I14" s="75" t="n">
        <x:f>'Assumptions'!$B$11*POWER('Assumptions'!$B$16,INT((D14+11-'Assumptions'!$B$17)/12))+'Assumptions'!$B$12*POWER('Assumptions'!$B$16,INT((D14+11-'Assumptions'!$B$18)/12))</x:f>
        <x:v>1.8</x:v>
      </x:c>
      <x:c r="J14" s="76" t="n">
        <x:f>I14*'Assumptions'!$B$13*'Assumptions'!$B$14/12</x:f>
        <x:v>108</x:v>
      </x:c>
      <x:c r="K14" s="75" t="n">
        <x:f>'Assumptions'!$B$23*C14/12</x:f>
        <x:v>16.666666666666668</x:v>
      </x:c>
      <x:c r="L14" s="76" t="n">
        <x:f>K14*'Assumptions'!$B$25*'Assumptions'!$B$26</x:f>
        <x:v>2666.666666666667</x:v>
      </x:c>
      <x:c r="M14" s="75" t="n">
        <x:f>'Assumptions'!$B$27*C14/12</x:f>
        <x:v>0</x:v>
      </x:c>
      <x:c r="N14" s="76" t="n">
        <x:f>M14*'Assumptions'!$B$28/12</x:f>
        <x:v>0</x:v>
      </x:c>
      <x:c r="O14" s="75" t="n">
        <x:f>'Assumptions'!$B$29*C14/12</x:f>
        <x:v>16.666666666666668</x:v>
      </x:c>
      <x:c r="P14" s="76" t="n">
        <x:f>O14*'Assumptions'!$B$31</x:f>
        <x:v>500.00000000000006</x:v>
      </x:c>
      <x:c r="Q14" s="75" t="n">
        <x:f>('Assumptions'!$B$23+'Assumptions'!$B$27)/12</x:f>
        <x:v>1.6666666666666667</x:v>
      </x:c>
      <x:c r="R14" s="76" t="n">
        <x:f>Q14*'Assumptions'!$B$32</x:f>
        <x:v>1666.6666666666667</x:v>
      </x:c>
      <x:c r="S14" s="76" t="n">
        <x:f>SUM(F14,H14,J14,L14,N14,P14,R14)</x:f>
        <x:v>6673.666666666667</x:v>
      </x:c>
      <x:c r="T14" s="76" t="n">
        <x:f>(F14+H14+J14+L14+N14)*'Assumptions'!$B$33+P14*'Assumptions'!$B$34+R14*'Assumptions'!$B$35</x:f>
        <x:v>2994.116666666667</x:v>
      </x:c>
      <x:c r="U14" s="76" t="n">
        <x:f>S14-T14</x:f>
        <x:v>3679.55</x:v>
      </x:c>
    </x:row>
    <x:row r="15">
      <x:c r="A15" s="74" t="n">
        <x:v>46813</x:v>
      </x:c>
      <x:c r="B15" s="29" t="n">
        <x:v>1</x:v>
      </x:c>
      <x:c r="C15" s="29" t="n">
        <x:v>11</x:v>
      </x:c>
      <x:c r="D15" s="29" t="n">
        <x:v>11</x:v>
      </x:c>
      <x:c r="E15" s="75" t="n">
        <x:f>'Assumptions'!$B$8*POWER('Assumptions'!$B$15,INT((D15+11-'Assumptions'!$B$17)/12))+'Assumptions'!$B$9*POWER('Assumptions'!$B$15,INT((D15+11-'Assumptions'!$B$18)/12))</x:f>
        <x:v>18</x:v>
      </x:c>
      <x:c r="F15" s="76" t="n">
        <x:f>E15*'Assumptions'!$B$10/12</x:f>
        <x:v>285</x:v>
      </x:c>
      <x:c r="G15" s="75" t="n">
        <x:f>'Assumptions'!$B$20*C15/12</x:f>
        <x:v>91.66666666666667</x:v>
      </x:c>
      <x:c r="H15" s="76" t="n">
        <x:f>G15*'Assumptions'!$B$22</x:f>
        <x:v>1466.6666666666667</x:v>
      </x:c>
      <x:c r="I15" s="75" t="n">
        <x:f>'Assumptions'!$B$11*POWER('Assumptions'!$B$16,INT((D15+11-'Assumptions'!$B$17)/12))+'Assumptions'!$B$12*POWER('Assumptions'!$B$16,INT((D15+11-'Assumptions'!$B$18)/12))</x:f>
        <x:v>1.8</x:v>
      </x:c>
      <x:c r="J15" s="76" t="n">
        <x:f>I15*'Assumptions'!$B$13*'Assumptions'!$B$14/12</x:f>
        <x:v>108</x:v>
      </x:c>
      <x:c r="K15" s="75" t="n">
        <x:f>'Assumptions'!$B$23*C15/12</x:f>
        <x:v>18.333333333333332</x:v>
      </x:c>
      <x:c r="L15" s="76" t="n">
        <x:f>K15*'Assumptions'!$B$25*'Assumptions'!$B$26</x:f>
        <x:v>2933.333333333333</x:v>
      </x:c>
      <x:c r="M15" s="75" t="n">
        <x:f>'Assumptions'!$B$27*C15/12</x:f>
        <x:v>0</x:v>
      </x:c>
      <x:c r="N15" s="76" t="n">
        <x:f>M15*'Assumptions'!$B$28/12</x:f>
        <x:v>0</x:v>
      </x:c>
      <x:c r="O15" s="75" t="n">
        <x:f>'Assumptions'!$B$29*C15/12</x:f>
        <x:v>18.333333333333332</x:v>
      </x:c>
      <x:c r="P15" s="76" t="n">
        <x:f>O15*'Assumptions'!$B$31</x:f>
        <x:v>550</x:v>
      </x:c>
      <x:c r="Q15" s="75" t="n">
        <x:f>('Assumptions'!$B$23+'Assumptions'!$B$27)/12</x:f>
        <x:v>1.6666666666666667</x:v>
      </x:c>
      <x:c r="R15" s="76" t="n">
        <x:f>Q15*'Assumptions'!$B$32</x:f>
        <x:v>1666.6666666666667</x:v>
      </x:c>
      <x:c r="S15" s="76" t="n">
        <x:f>SUM(F15,H15,J15,L15,N15,P15,R15)</x:f>
        <x:v>7009.666666666667</x:v>
      </x:c>
      <x:c r="T15" s="76" t="n">
        <x:f>(F15+H15+J15+L15+N15)*'Assumptions'!$B$33+P15*'Assumptions'!$B$34+R15*'Assumptions'!$B$35</x:f>
        <x:v>3119.2166666666667</x:v>
      </x:c>
      <x:c r="U15" s="76" t="n">
        <x:f>S15-T15</x:f>
        <x:v>3890.4500000000003</x:v>
      </x:c>
    </x:row>
    <x:row r="16">
      <x:c r="A16" s="74" t="n">
        <x:v>46844</x:v>
      </x:c>
      <x:c r="B16" s="29" t="n">
        <x:v>1</x:v>
      </x:c>
      <x:c r="C16" s="29" t="n">
        <x:v>12</x:v>
      </x:c>
      <x:c r="D16" s="29" t="n">
        <x:v>12</x:v>
      </x:c>
      <x:c r="E16" s="75" t="n">
        <x:f>'Assumptions'!$B$8*POWER('Assumptions'!$B$15,INT((D16+11-'Assumptions'!$B$17)/12))+'Assumptions'!$B$9*POWER('Assumptions'!$B$15,INT((D16+11-'Assumptions'!$B$18)/12))</x:f>
        <x:v>18</x:v>
      </x:c>
      <x:c r="F16" s="76" t="n">
        <x:f>E16*'Assumptions'!$B$10/12</x:f>
        <x:v>285</x:v>
      </x:c>
      <x:c r="G16" s="75" t="n">
        <x:f>'Assumptions'!$B$20*C16/12</x:f>
        <x:v>100</x:v>
      </x:c>
      <x:c r="H16" s="76" t="n">
        <x:f>G16*'Assumptions'!$B$22</x:f>
        <x:v>1600</x:v>
      </x:c>
      <x:c r="I16" s="75" t="n">
        <x:f>'Assumptions'!$B$11*POWER('Assumptions'!$B$16,INT((D16+11-'Assumptions'!$B$17)/12))+'Assumptions'!$B$12*POWER('Assumptions'!$B$16,INT((D16+11-'Assumptions'!$B$18)/12))</x:f>
        <x:v>1.8</x:v>
      </x:c>
      <x:c r="J16" s="76" t="n">
        <x:f>I16*'Assumptions'!$B$13*'Assumptions'!$B$14/12</x:f>
        <x:v>108</x:v>
      </x:c>
      <x:c r="K16" s="75" t="n">
        <x:f>'Assumptions'!$B$23*C16/12</x:f>
        <x:v>20</x:v>
      </x:c>
      <x:c r="L16" s="76" t="n">
        <x:f>K16*'Assumptions'!$B$25*'Assumptions'!$B$26</x:f>
        <x:v>3200</x:v>
      </x:c>
      <x:c r="M16" s="75" t="n">
        <x:f>'Assumptions'!$B$27*C16/12</x:f>
        <x:v>0</x:v>
      </x:c>
      <x:c r="N16" s="76" t="n">
        <x:f>M16*'Assumptions'!$B$28/12</x:f>
        <x:v>0</x:v>
      </x:c>
      <x:c r="O16" s="75" t="n">
        <x:f>'Assumptions'!$B$29*C16/12</x:f>
        <x:v>20</x:v>
      </x:c>
      <x:c r="P16" s="76" t="n">
        <x:f>O16*'Assumptions'!$B$31</x:f>
        <x:v>600</x:v>
      </x:c>
      <x:c r="Q16" s="75" t="n">
        <x:f>('Assumptions'!$B$23+'Assumptions'!$B$27)/12</x:f>
        <x:v>1.6666666666666667</x:v>
      </x:c>
      <x:c r="R16" s="76" t="n">
        <x:f>Q16*'Assumptions'!$B$32</x:f>
        <x:v>1666.6666666666667</x:v>
      </x:c>
      <x:c r="S16" s="76" t="n">
        <x:f>SUM(F16,H16,J16,L16,N16,P16,R16)</x:f>
        <x:v>7459.666666666667</x:v>
      </x:c>
      <x:c r="T16" s="76" t="n">
        <x:f>(F16+H16+J16+L16+N16)*'Assumptions'!$B$33+P16*'Assumptions'!$B$34+R16*'Assumptions'!$B$35</x:f>
        <x:v>3284.216666666667</x:v>
      </x:c>
      <x:c r="U16" s="76" t="n">
        <x:f>S16-T16</x:f>
        <x:v>4175.45</x:v>
      </x:c>
    </x:row>
    <x:row r="17">
      <x:c r="A17" s="74" t="n">
        <x:v>46874</x:v>
      </x:c>
      <x:c r="B17" s="29" t="n">
        <x:v>2</x:v>
      </x:c>
      <x:c r="C17" s="29" t="n">
        <x:v>1</x:v>
      </x:c>
      <x:c r="D17" s="29" t="n">
        <x:v>13</x:v>
      </x:c>
      <x:c r="E17" s="75" t="n">
        <x:f>'Assumptions'!$B$8*POWER('Assumptions'!$B$15,INT((D17+11-'Assumptions'!$B$17)/12))+'Assumptions'!$B$9*POWER('Assumptions'!$B$15,INT((D17+11-'Assumptions'!$B$18)/12))</x:f>
        <x:v>18</x:v>
      </x:c>
      <x:c r="F17" s="76" t="n">
        <x:f>E17*'Assumptions'!$B$10/12</x:f>
        <x:v>285</x:v>
      </x:c>
      <x:c r="G17" s="75" t="n">
        <x:f>'Assumptions'!$B$20*'Assumptions'!$B$21+'Assumptions'!$C$20*C17/12</x:f>
        <x:v>80.83333333333333</x:v>
      </x:c>
      <x:c r="H17" s="76" t="n">
        <x:f>G17*'Assumptions'!$C$22</x:f>
        <x:v>1455</x:v>
      </x:c>
      <x:c r="I17" s="75" t="n">
        <x:f>'Assumptions'!$B$11*POWER('Assumptions'!$B$16,INT((D17+11-'Assumptions'!$B$17)/12))+'Assumptions'!$B$12*POWER('Assumptions'!$B$16,INT((D17+11-'Assumptions'!$B$18)/12))</x:f>
        <x:v>1.8</x:v>
      </x:c>
      <x:c r="J17" s="76" t="n">
        <x:f>I17*'Assumptions'!$B$13*'Assumptions'!$B$14/12</x:f>
        <x:v>108</x:v>
      </x:c>
      <x:c r="K17" s="75" t="n">
        <x:f>'Assumptions'!$B$23*'Assumptions'!$B$24+'Assumptions'!$C$23*C17/12</x:f>
        <x:v>20.5</x:v>
      </x:c>
      <x:c r="L17" s="76" t="n">
        <x:f>K17*'Assumptions'!$C$25*'Assumptions'!$C$26</x:f>
        <x:v>4059</x:v>
      </x:c>
      <x:c r="M17" s="75" t="n">
        <x:f>'Assumptions'!$B$27*'Assumptions'!$B$24+'Assumptions'!$C$27*C17/12</x:f>
        <x:v>0.08333333333333333</x:v>
      </x:c>
      <x:c r="N17" s="76" t="n">
        <x:f>M17*'Assumptions'!$C$28/12</x:f>
        <x:v>138.88888888888889</x:v>
      </x:c>
      <x:c r="O17" s="75" t="n">
        <x:f>'Assumptions'!$B$29*'Assumptions'!$B$30+'Assumptions'!$C$29*C17/12</x:f>
        <x:v>18.166666666666668</x:v>
      </x:c>
      <x:c r="P17" s="76" t="n">
        <x:f>O17*'Assumptions'!$C$31</x:f>
        <x:v>817.5</x:v>
      </x:c>
      <x:c r="Q17" s="75" t="n">
        <x:f>('Assumptions'!$C$23+'Assumptions'!$C$27)/12</x:f>
        <x:v>2.5833333333333335</x:v>
      </x:c>
      <x:c r="R17" s="76" t="n">
        <x:f>Q17*'Assumptions'!$C$32</x:f>
        <x:v>2325</x:v>
      </x:c>
      <x:c r="S17" s="76" t="n">
        <x:f>SUM(F17,H17,J17,L17,N17,P17,R17)</x:f>
        <x:v>9188.388888888889</x:v>
      </x:c>
      <x:c r="T17" s="76" t="n">
        <x:f>(F17+H17+J17+L17+N17)*'Assumptions'!$C$33+P17*'Assumptions'!$C$34+R17*'Assumptions'!$C$35</x:f>
        <x:v>3930.059444444444</x:v>
      </x:c>
      <x:c r="U17" s="76" t="n">
        <x:f>S17-T17</x:f>
        <x:v>5258.329444444445</x:v>
      </x:c>
    </x:row>
    <x:row r="18">
      <x:c r="A18" s="74" t="n">
        <x:v>46905</x:v>
      </x:c>
      <x:c r="B18" s="29" t="n">
        <x:v>2</x:v>
      </x:c>
      <x:c r="C18" s="29" t="n">
        <x:v>2</x:v>
      </x:c>
      <x:c r="D18" s="29" t="n">
        <x:v>14</x:v>
      </x:c>
      <x:c r="E18" s="75" t="n">
        <x:f>'Assumptions'!$B$8*POWER('Assumptions'!$B$15,INT((D18+11-'Assumptions'!$B$17)/12))+'Assumptions'!$B$9*POWER('Assumptions'!$B$15,INT((D18+11-'Assumptions'!$B$18)/12))</x:f>
        <x:v>18</x:v>
      </x:c>
      <x:c r="F18" s="76" t="n">
        <x:f>E18*'Assumptions'!$B$10/12</x:f>
        <x:v>285</x:v>
      </x:c>
      <x:c r="G18" s="75" t="n">
        <x:f>'Assumptions'!$B$20*'Assumptions'!$B$21+'Assumptions'!$C$20*C18/12</x:f>
        <x:v>101.66666666666666</x:v>
      </x:c>
      <x:c r="H18" s="76" t="n">
        <x:f>G18*'Assumptions'!$C$22</x:f>
        <x:v>1829.9999999999998</x:v>
      </x:c>
      <x:c r="I18" s="75" t="n">
        <x:f>'Assumptions'!$B$11*POWER('Assumptions'!$B$16,INT((D18+11-'Assumptions'!$B$17)/12))+'Assumptions'!$B$12*POWER('Assumptions'!$B$16,INT((D18+11-'Assumptions'!$B$18)/12))</x:f>
        <x:v>1.8</x:v>
      </x:c>
      <x:c r="J18" s="76" t="n">
        <x:f>I18*'Assumptions'!$B$13*'Assumptions'!$B$14/12</x:f>
        <x:v>108</x:v>
      </x:c>
      <x:c r="K18" s="75" t="n">
        <x:f>'Assumptions'!$B$23*'Assumptions'!$B$24+'Assumptions'!$C$23*C18/12</x:f>
        <x:v>23</x:v>
      </x:c>
      <x:c r="L18" s="76" t="n">
        <x:f>K18*'Assumptions'!$C$25*'Assumptions'!$C$26</x:f>
        <x:v>4554</x:v>
      </x:c>
      <x:c r="M18" s="75" t="n">
        <x:f>'Assumptions'!$B$27*'Assumptions'!$B$24+'Assumptions'!$C$27*C18/12</x:f>
        <x:v>0.16666666666666666</x:v>
      </x:c>
      <x:c r="N18" s="76" t="n">
        <x:f>M18*'Assumptions'!$C$28/12</x:f>
        <x:v>277.77777777777777</x:v>
      </x:c>
      <x:c r="O18" s="75" t="n">
        <x:f>'Assumptions'!$B$29*'Assumptions'!$B$30+'Assumptions'!$C$29*C18/12</x:f>
        <x:v>22.333333333333336</x:v>
      </x:c>
      <x:c r="P18" s="76" t="n">
        <x:f>O18*'Assumptions'!$C$31</x:f>
        <x:v>1005.0000000000001</x:v>
      </x:c>
      <x:c r="Q18" s="75" t="n">
        <x:f>('Assumptions'!$C$23+'Assumptions'!$C$27)/12</x:f>
        <x:v>2.5833333333333335</x:v>
      </x:c>
      <x:c r="R18" s="76" t="n">
        <x:f>Q18*'Assumptions'!$C$32</x:f>
        <x:v>2325</x:v>
      </x:c>
      <x:c r="S18" s="76" t="n">
        <x:f>SUM(F18,H18,J18,L18,N18,P18,R18)</x:f>
        <x:v>10384.777777777777</x:v>
      </x:c>
      <x:c r="T18" s="76" t="n">
        <x:f>(F18+H18+J18+L18+N18)*'Assumptions'!$C$33+P18*'Assumptions'!$C$34+R18*'Assumptions'!$C$35</x:f>
        <x:v>4337.278888888889</x:v>
      </x:c>
      <x:c r="U18" s="76" t="n">
        <x:f>S18-T18</x:f>
        <x:v>6047.498888888888</x:v>
      </x:c>
    </x:row>
    <x:row r="19">
      <x:c r="A19" s="74" t="n">
        <x:v>46935</x:v>
      </x:c>
      <x:c r="B19" s="29" t="n">
        <x:v>2</x:v>
      </x:c>
      <x:c r="C19" s="29" t="n">
        <x:v>3</x:v>
      </x:c>
      <x:c r="D19" s="29" t="n">
        <x:v>15</x:v>
      </x:c>
      <x:c r="E19" s="75" t="n">
        <x:f>'Assumptions'!$B$8*POWER('Assumptions'!$B$15,INT((D19+11-'Assumptions'!$B$17)/12))+'Assumptions'!$B$9*POWER('Assumptions'!$B$15,INT((D19+11-'Assumptions'!$B$18)/12))</x:f>
        <x:v>18</x:v>
      </x:c>
      <x:c r="F19" s="76" t="n">
        <x:f>E19*'Assumptions'!$B$10/12</x:f>
        <x:v>285</x:v>
      </x:c>
      <x:c r="G19" s="75" t="n">
        <x:f>'Assumptions'!$B$20*'Assumptions'!$B$21+'Assumptions'!$C$20*C19/12</x:f>
        <x:v>122.5</x:v>
      </x:c>
      <x:c r="H19" s="76" t="n">
        <x:f>G19*'Assumptions'!$C$22</x:f>
        <x:v>2205</x:v>
      </x:c>
      <x:c r="I19" s="75" t="n">
        <x:f>'Assumptions'!$B$11*POWER('Assumptions'!$B$16,INT((D19+11-'Assumptions'!$B$17)/12))+'Assumptions'!$B$12*POWER('Assumptions'!$B$16,INT((D19+11-'Assumptions'!$B$18)/12))</x:f>
        <x:v>1.8</x:v>
      </x:c>
      <x:c r="J19" s="76" t="n">
        <x:f>I19*'Assumptions'!$B$13*'Assumptions'!$B$14/12</x:f>
        <x:v>108</x:v>
      </x:c>
      <x:c r="K19" s="75" t="n">
        <x:f>'Assumptions'!$B$23*'Assumptions'!$B$24+'Assumptions'!$C$23*C19/12</x:f>
        <x:v>25.5</x:v>
      </x:c>
      <x:c r="L19" s="76" t="n">
        <x:f>K19*'Assumptions'!$C$25*'Assumptions'!$C$26</x:f>
        <x:v>5049</x:v>
      </x:c>
      <x:c r="M19" s="75" t="n">
        <x:f>'Assumptions'!$B$27*'Assumptions'!$B$24+'Assumptions'!$C$27*C19/12</x:f>
        <x:v>0.25</x:v>
      </x:c>
      <x:c r="N19" s="76" t="n">
        <x:f>M19*'Assumptions'!$C$28/12</x:f>
        <x:v>416.6666666666667</x:v>
      </x:c>
      <x:c r="O19" s="75" t="n">
        <x:f>'Assumptions'!$B$29*'Assumptions'!$B$30+'Assumptions'!$C$29*C19/12</x:f>
        <x:v>26.5</x:v>
      </x:c>
      <x:c r="P19" s="76" t="n">
        <x:f>O19*'Assumptions'!$C$31</x:f>
        <x:v>1192.5</x:v>
      </x:c>
      <x:c r="Q19" s="75" t="n">
        <x:f>('Assumptions'!$C$23+'Assumptions'!$C$27)/12</x:f>
        <x:v>2.5833333333333335</x:v>
      </x:c>
      <x:c r="R19" s="76" t="n">
        <x:f>Q19*'Assumptions'!$C$32</x:f>
        <x:v>2325</x:v>
      </x:c>
      <x:c r="S19" s="76" t="n">
        <x:f>SUM(F19,H19,J19,L19,N19,P19,R19)</x:f>
        <x:v>11581.166666666668</x:v>
      </x:c>
      <x:c r="T19" s="76" t="n">
        <x:f>(F19+H19+J19+L19+N19)*'Assumptions'!$C$33+P19*'Assumptions'!$C$34+R19*'Assumptions'!$C$35</x:f>
        <x:v>4744.498333333333</x:v>
      </x:c>
      <x:c r="U19" s="76" t="n">
        <x:f>S19-T19</x:f>
        <x:v>6836.668333333335</x:v>
      </x:c>
    </x:row>
    <x:row r="20">
      <x:c r="A20" s="74" t="n">
        <x:v>46966</x:v>
      </x:c>
      <x:c r="B20" s="29" t="n">
        <x:v>2</x:v>
      </x:c>
      <x:c r="C20" s="29" t="n">
        <x:v>4</x:v>
      </x:c>
      <x:c r="D20" s="29" t="n">
        <x:v>16</x:v>
      </x:c>
      <x:c r="E20" s="75" t="n">
        <x:f>'Assumptions'!$B$8*POWER('Assumptions'!$B$15,INT((D20+11-'Assumptions'!$B$17)/12))+'Assumptions'!$B$9*POWER('Assumptions'!$B$15,INT((D20+11-'Assumptions'!$B$18)/12))</x:f>
        <x:v>18</x:v>
      </x:c>
      <x:c r="F20" s="76" t="n">
        <x:f>E20*'Assumptions'!$B$10/12</x:f>
        <x:v>285</x:v>
      </x:c>
      <x:c r="G20" s="75" t="n">
        <x:f>'Assumptions'!$B$20*'Assumptions'!$B$21+'Assumptions'!$C$20*C20/12</x:f>
        <x:v>143.33333333333331</x:v>
      </x:c>
      <x:c r="H20" s="76" t="n">
        <x:f>G20*'Assumptions'!$C$22</x:f>
        <x:v>2579.9999999999995</x:v>
      </x:c>
      <x:c r="I20" s="75" t="n">
        <x:f>'Assumptions'!$B$11*POWER('Assumptions'!$B$16,INT((D20+11-'Assumptions'!$B$17)/12))+'Assumptions'!$B$12*POWER('Assumptions'!$B$16,INT((D20+11-'Assumptions'!$B$18)/12))</x:f>
        <x:v>1.8</x:v>
      </x:c>
      <x:c r="J20" s="76" t="n">
        <x:f>I20*'Assumptions'!$B$13*'Assumptions'!$B$14/12</x:f>
        <x:v>108</x:v>
      </x:c>
      <x:c r="K20" s="75" t="n">
        <x:f>'Assumptions'!$B$23*'Assumptions'!$B$24+'Assumptions'!$C$23*C20/12</x:f>
        <x:v>28</x:v>
      </x:c>
      <x:c r="L20" s="76" t="n">
        <x:f>K20*'Assumptions'!$C$25*'Assumptions'!$C$26</x:f>
        <x:v>5544</x:v>
      </x:c>
      <x:c r="M20" s="75" t="n">
        <x:f>'Assumptions'!$B$27*'Assumptions'!$B$24+'Assumptions'!$C$27*C20/12</x:f>
        <x:v>0.3333333333333333</x:v>
      </x:c>
      <x:c r="N20" s="76" t="n">
        <x:f>M20*'Assumptions'!$C$28/12</x:f>
        <x:v>555.5555555555555</x:v>
      </x:c>
      <x:c r="O20" s="75" t="n">
        <x:f>'Assumptions'!$B$29*'Assumptions'!$B$30+'Assumptions'!$C$29*C20/12</x:f>
        <x:v>30.666666666666668</x:v>
      </x:c>
      <x:c r="P20" s="76" t="n">
        <x:f>O20*'Assumptions'!$C$31</x:f>
        <x:v>1380</x:v>
      </x:c>
      <x:c r="Q20" s="75" t="n">
        <x:f>('Assumptions'!$C$23+'Assumptions'!$C$27)/12</x:f>
        <x:v>2.5833333333333335</x:v>
      </x:c>
      <x:c r="R20" s="76" t="n">
        <x:f>Q20*'Assumptions'!$C$32</x:f>
        <x:v>2325</x:v>
      </x:c>
      <x:c r="S20" s="76" t="n">
        <x:f>SUM(F20,H20,J20,L20,N20,P20,R20)</x:f>
        <x:v>12777.555555555555</x:v>
      </x:c>
      <x:c r="T20" s="76" t="n">
        <x:f>(F20+H20+J20+L20+N20)*'Assumptions'!$C$33+P20*'Assumptions'!$C$34+R20*'Assumptions'!$C$35</x:f>
        <x:v>5151.717777777778</x:v>
      </x:c>
      <x:c r="U20" s="76" t="n">
        <x:f>S20-T20</x:f>
        <x:v>7625.837777777777</x:v>
      </x:c>
    </x:row>
    <x:row r="21">
      <x:c r="A21" s="74" t="n">
        <x:v>46997</x:v>
      </x:c>
      <x:c r="B21" s="29" t="n">
        <x:v>2</x:v>
      </x:c>
      <x:c r="C21" s="29" t="n">
        <x:v>5</x:v>
      </x:c>
      <x:c r="D21" s="29" t="n">
        <x:v>17</x:v>
      </x:c>
      <x:c r="E21" s="75" t="n">
        <x:f>'Assumptions'!$B$8*POWER('Assumptions'!$B$15,INT((D21+11-'Assumptions'!$B$17)/12))+'Assumptions'!$B$9*POWER('Assumptions'!$B$15,INT((D21+11-'Assumptions'!$B$18)/12))</x:f>
        <x:v>18</x:v>
      </x:c>
      <x:c r="F21" s="76" t="n">
        <x:f>E21*'Assumptions'!$B$10/12</x:f>
        <x:v>285</x:v>
      </x:c>
      <x:c r="G21" s="75" t="n">
        <x:f>'Assumptions'!$B$20*'Assumptions'!$B$21+'Assumptions'!$C$20*C21/12</x:f>
        <x:v>164.16666666666669</x:v>
      </x:c>
      <x:c r="H21" s="76" t="n">
        <x:f>G21*'Assumptions'!$C$22</x:f>
        <x:v>2955.0000000000005</x:v>
      </x:c>
      <x:c r="I21" s="75" t="n">
        <x:f>'Assumptions'!$B$11*POWER('Assumptions'!$B$16,INT((D21+11-'Assumptions'!$B$17)/12))+'Assumptions'!$B$12*POWER('Assumptions'!$B$16,INT((D21+11-'Assumptions'!$B$18)/12))</x:f>
        <x:v>1.8</x:v>
      </x:c>
      <x:c r="J21" s="76" t="n">
        <x:f>I21*'Assumptions'!$B$13*'Assumptions'!$B$14/12</x:f>
        <x:v>108</x:v>
      </x:c>
      <x:c r="K21" s="75" t="n">
        <x:f>'Assumptions'!$B$23*'Assumptions'!$B$24+'Assumptions'!$C$23*C21/12</x:f>
        <x:v>30.5</x:v>
      </x:c>
      <x:c r="L21" s="76" t="n">
        <x:f>K21*'Assumptions'!$C$25*'Assumptions'!$C$26</x:f>
        <x:v>6039</x:v>
      </x:c>
      <x:c r="M21" s="75" t="n">
        <x:f>'Assumptions'!$B$27*'Assumptions'!$B$24+'Assumptions'!$C$27*C21/12</x:f>
        <x:v>0.4166666666666667</x:v>
      </x:c>
      <x:c r="N21" s="76" t="n">
        <x:f>M21*'Assumptions'!$C$28/12</x:f>
        <x:v>694.4444444444445</x:v>
      </x:c>
      <x:c r="O21" s="75" t="n">
        <x:f>'Assumptions'!$B$29*'Assumptions'!$B$30+'Assumptions'!$C$29*C21/12</x:f>
        <x:v>34.83333333333333</x:v>
      </x:c>
      <x:c r="P21" s="76" t="n">
        <x:f>O21*'Assumptions'!$C$31</x:f>
        <x:v>1567.4999999999998</x:v>
      </x:c>
      <x:c r="Q21" s="75" t="n">
        <x:f>('Assumptions'!$C$23+'Assumptions'!$C$27)/12</x:f>
        <x:v>2.5833333333333335</x:v>
      </x:c>
      <x:c r="R21" s="76" t="n">
        <x:f>Q21*'Assumptions'!$C$32</x:f>
        <x:v>2325</x:v>
      </x:c>
      <x:c r="S21" s="76" t="n">
        <x:f>SUM(F21,H21,J21,L21,N21,P21,R21)</x:f>
        <x:v>13973.944444444445</x:v>
      </x:c>
      <x:c r="T21" s="76" t="n">
        <x:f>(F21+H21+J21+L21+N21)*'Assumptions'!$C$33+P21*'Assumptions'!$C$34+R21*'Assumptions'!$C$35</x:f>
        <x:v>5558.937222222223</x:v>
      </x:c>
      <x:c r="U21" s="76" t="n">
        <x:f>S21-T21</x:f>
        <x:v>8415.007222222222</x:v>
      </x:c>
    </x:row>
    <x:row r="22">
      <x:c r="A22" s="74" t="n">
        <x:v>47027</x:v>
      </x:c>
      <x:c r="B22" s="29" t="n">
        <x:v>2</x:v>
      </x:c>
      <x:c r="C22" s="29" t="n">
        <x:v>6</x:v>
      </x:c>
      <x:c r="D22" s="29" t="n">
        <x:v>18</x:v>
      </x:c>
      <x:c r="E22" s="75" t="n">
        <x:f>'Assumptions'!$B$8*POWER('Assumptions'!$B$15,INT((D22+11-'Assumptions'!$B$17)/12))+'Assumptions'!$B$9*POWER('Assumptions'!$B$15,INT((D22+11-'Assumptions'!$B$18)/12))</x:f>
        <x:v>18</x:v>
      </x:c>
      <x:c r="F22" s="76" t="n">
        <x:f>E22*'Assumptions'!$B$10/12</x:f>
        <x:v>285</x:v>
      </x:c>
      <x:c r="G22" s="75" t="n">
        <x:f>'Assumptions'!$B$20*'Assumptions'!$B$21+'Assumptions'!$C$20*C22/12</x:f>
        <x:v>185</x:v>
      </x:c>
      <x:c r="H22" s="76" t="n">
        <x:f>G22*'Assumptions'!$C$22</x:f>
        <x:v>3330</x:v>
      </x:c>
      <x:c r="I22" s="75" t="n">
        <x:f>'Assumptions'!$B$11*POWER('Assumptions'!$B$16,INT((D22+11-'Assumptions'!$B$17)/12))+'Assumptions'!$B$12*POWER('Assumptions'!$B$16,INT((D22+11-'Assumptions'!$B$18)/12))</x:f>
        <x:v>1.8</x:v>
      </x:c>
      <x:c r="J22" s="76" t="n">
        <x:f>I22*'Assumptions'!$B$13*'Assumptions'!$B$14/12</x:f>
        <x:v>108</x:v>
      </x:c>
      <x:c r="K22" s="75" t="n">
        <x:f>'Assumptions'!$B$23*'Assumptions'!$B$24+'Assumptions'!$C$23*C22/12</x:f>
        <x:v>33</x:v>
      </x:c>
      <x:c r="L22" s="76" t="n">
        <x:f>K22*'Assumptions'!$C$25*'Assumptions'!$C$26</x:f>
        <x:v>6534</x:v>
      </x:c>
      <x:c r="M22" s="75" t="n">
        <x:f>'Assumptions'!$B$27*'Assumptions'!$B$24+'Assumptions'!$C$27*C22/12</x:f>
        <x:v>0.5</x:v>
      </x:c>
      <x:c r="N22" s="76" t="n">
        <x:f>M22*'Assumptions'!$C$28/12</x:f>
        <x:v>833.3333333333334</x:v>
      </x:c>
      <x:c r="O22" s="75" t="n">
        <x:f>'Assumptions'!$B$29*'Assumptions'!$B$30+'Assumptions'!$C$29*C22/12</x:f>
        <x:v>39</x:v>
      </x:c>
      <x:c r="P22" s="76" t="n">
        <x:f>O22*'Assumptions'!$C$31</x:f>
        <x:v>1755</x:v>
      </x:c>
      <x:c r="Q22" s="75" t="n">
        <x:f>('Assumptions'!$C$23+'Assumptions'!$C$27)/12</x:f>
        <x:v>2.5833333333333335</x:v>
      </x:c>
      <x:c r="R22" s="76" t="n">
        <x:f>Q22*'Assumptions'!$C$32</x:f>
        <x:v>2325</x:v>
      </x:c>
      <x:c r="S22" s="76" t="n">
        <x:f>SUM(F22,H22,J22,L22,N22,P22,R22)</x:f>
        <x:v>15170.333333333334</x:v>
      </x:c>
      <x:c r="T22" s="76" t="n">
        <x:f>(F22+H22+J22+L22+N22)*'Assumptions'!$C$33+P22*'Assumptions'!$C$34+R22*'Assumptions'!$C$35</x:f>
        <x:v>5966.156666666667</x:v>
      </x:c>
      <x:c r="U22" s="76" t="n">
        <x:f>S22-T22</x:f>
        <x:v>9204.176666666666</x:v>
      </x:c>
    </x:row>
    <x:row r="23">
      <x:c r="A23" s="74" t="n">
        <x:v>47058</x:v>
      </x:c>
      <x:c r="B23" s="29" t="n">
        <x:v>2</x:v>
      </x:c>
      <x:c r="C23" s="29" t="n">
        <x:v>7</x:v>
      </x:c>
      <x:c r="D23" s="29" t="n">
        <x:v>19</x:v>
      </x:c>
      <x:c r="E23" s="75" t="n">
        <x:f>'Assumptions'!$B$8*POWER('Assumptions'!$B$15,INT((D23+11-'Assumptions'!$B$17)/12))+'Assumptions'!$B$9*POWER('Assumptions'!$B$15,INT((D23+11-'Assumptions'!$B$18)/12))</x:f>
        <x:v>15.12</x:v>
      </x:c>
      <x:c r="F23" s="76" t="n">
        <x:f>E23*'Assumptions'!$B$10/12</x:f>
        <x:v>239.39999999999998</x:v>
      </x:c>
      <x:c r="G23" s="75" t="n">
        <x:f>'Assumptions'!$B$20*'Assumptions'!$B$21+'Assumptions'!$C$20*C23/12</x:f>
        <x:v>205.83333333333334</x:v>
      </x:c>
      <x:c r="H23" s="76" t="n">
        <x:f>G23*'Assumptions'!$C$22</x:f>
        <x:v>3705</x:v>
      </x:c>
      <x:c r="I23" s="75" t="n">
        <x:f>'Assumptions'!$B$11*POWER('Assumptions'!$B$16,INT((D23+11-'Assumptions'!$B$17)/12))+'Assumptions'!$B$12*POWER('Assumptions'!$B$16,INT((D23+11-'Assumptions'!$B$18)/12))</x:f>
        <x:v>1.62</x:v>
      </x:c>
      <x:c r="J23" s="76" t="n">
        <x:f>I23*'Assumptions'!$B$13*'Assumptions'!$B$14/12</x:f>
        <x:v>97.2</x:v>
      </x:c>
      <x:c r="K23" s="75" t="n">
        <x:f>'Assumptions'!$B$23*'Assumptions'!$B$24+'Assumptions'!$C$23*C23/12</x:f>
        <x:v>35.5</x:v>
      </x:c>
      <x:c r="L23" s="76" t="n">
        <x:f>K23*'Assumptions'!$C$25*'Assumptions'!$C$26</x:f>
        <x:v>7029</x:v>
      </x:c>
      <x:c r="M23" s="75" t="n">
        <x:f>'Assumptions'!$B$27*'Assumptions'!$B$24+'Assumptions'!$C$27*C23/12</x:f>
        <x:v>0.5833333333333334</x:v>
      </x:c>
      <x:c r="N23" s="76" t="n">
        <x:f>M23*'Assumptions'!$C$28/12</x:f>
        <x:v>972.2222222222223</x:v>
      </x:c>
      <x:c r="O23" s="75" t="n">
        <x:f>'Assumptions'!$B$29*'Assumptions'!$B$30+'Assumptions'!$C$29*C23/12</x:f>
        <x:v>43.16666666666667</x:v>
      </x:c>
      <x:c r="P23" s="76" t="n">
        <x:f>O23*'Assumptions'!$C$31</x:f>
        <x:v>1942.5000000000002</x:v>
      </x:c>
      <x:c r="Q23" s="75" t="n">
        <x:f>('Assumptions'!$C$23+'Assumptions'!$C$27)/12</x:f>
        <x:v>2.5833333333333335</x:v>
      </x:c>
      <x:c r="R23" s="76" t="n">
        <x:f>Q23*'Assumptions'!$C$32</x:f>
        <x:v>2325</x:v>
      </x:c>
      <x:c r="S23" s="76" t="n">
        <x:f>SUM(F23,H23,J23,L23,N23,P23,R23)</x:f>
        <x:v>16310.322222222223</x:v>
      </x:c>
      <x:c r="T23" s="76" t="n">
        <x:f>(F23+H23+J23+L23+N23)*'Assumptions'!$C$33+P23*'Assumptions'!$C$34+R23*'Assumptions'!$C$35</x:f>
        <x:v>6355.328111111112</x:v>
      </x:c>
      <x:c r="U23" s="76" t="n">
        <x:f>S23-T23</x:f>
        <x:v>9954.994111111111</x:v>
      </x:c>
    </x:row>
    <x:row r="24">
      <x:c r="A24" s="74" t="n">
        <x:v>47088</x:v>
      </x:c>
      <x:c r="B24" s="29" t="n">
        <x:v>2</x:v>
      </x:c>
      <x:c r="C24" s="29" t="n">
        <x:v>8</x:v>
      </x:c>
      <x:c r="D24" s="29" t="n">
        <x:v>20</x:v>
      </x:c>
      <x:c r="E24" s="75" t="n">
        <x:f>'Assumptions'!$B$8*POWER('Assumptions'!$B$15,INT((D24+11-'Assumptions'!$B$17)/12))+'Assumptions'!$B$9*POWER('Assumptions'!$B$15,INT((D24+11-'Assumptions'!$B$18)/12))</x:f>
        <x:v>15.12</x:v>
      </x:c>
      <x:c r="F24" s="76" t="n">
        <x:f>E24*'Assumptions'!$B$10/12</x:f>
        <x:v>239.39999999999998</x:v>
      </x:c>
      <x:c r="G24" s="75" t="n">
        <x:f>'Assumptions'!$B$20*'Assumptions'!$B$21+'Assumptions'!$C$20*C24/12</x:f>
        <x:v>226.66666666666666</x:v>
      </x:c>
      <x:c r="H24" s="76" t="n">
        <x:f>G24*'Assumptions'!$C$22</x:f>
        <x:v>4080</x:v>
      </x:c>
      <x:c r="I24" s="75" t="n">
        <x:f>'Assumptions'!$B$11*POWER('Assumptions'!$B$16,INT((D24+11-'Assumptions'!$B$17)/12))+'Assumptions'!$B$12*POWER('Assumptions'!$B$16,INT((D24+11-'Assumptions'!$B$18)/12))</x:f>
        <x:v>1.62</x:v>
      </x:c>
      <x:c r="J24" s="76" t="n">
        <x:f>I24*'Assumptions'!$B$13*'Assumptions'!$B$14/12</x:f>
        <x:v>97.2</x:v>
      </x:c>
      <x:c r="K24" s="75" t="n">
        <x:f>'Assumptions'!$B$23*'Assumptions'!$B$24+'Assumptions'!$C$23*C24/12</x:f>
        <x:v>38</x:v>
      </x:c>
      <x:c r="L24" s="76" t="n">
        <x:f>K24*'Assumptions'!$C$25*'Assumptions'!$C$26</x:f>
        <x:v>7524</x:v>
      </x:c>
      <x:c r="M24" s="75" t="n">
        <x:f>'Assumptions'!$B$27*'Assumptions'!$B$24+'Assumptions'!$C$27*C24/12</x:f>
        <x:v>0.6666666666666666</x:v>
      </x:c>
      <x:c r="N24" s="76" t="n">
        <x:f>M24*'Assumptions'!$C$28/12</x:f>
        <x:v>1111.111111111111</x:v>
      </x:c>
      <x:c r="O24" s="75" t="n">
        <x:f>'Assumptions'!$B$29*'Assumptions'!$B$30+'Assumptions'!$C$29*C24/12</x:f>
        <x:v>47.333333333333336</x:v>
      </x:c>
      <x:c r="P24" s="76" t="n">
        <x:f>O24*'Assumptions'!$C$31</x:f>
        <x:v>2130</x:v>
      </x:c>
      <x:c r="Q24" s="75" t="n">
        <x:f>('Assumptions'!$C$23+'Assumptions'!$C$27)/12</x:f>
        <x:v>2.5833333333333335</x:v>
      </x:c>
      <x:c r="R24" s="76" t="n">
        <x:f>Q24*'Assumptions'!$C$32</x:f>
        <x:v>2325</x:v>
      </x:c>
      <x:c r="S24" s="76" t="n">
        <x:f>SUM(F24,H24,J24,L24,N24,P24,R24)</x:f>
        <x:v>17506.711111111108</x:v>
      </x:c>
      <x:c r="T24" s="76" t="n">
        <x:f>(F24+H24+J24+L24+N24)*'Assumptions'!$C$33+P24*'Assumptions'!$C$34+R24*'Assumptions'!$C$35</x:f>
        <x:v>6762.547555555555</x:v>
      </x:c>
      <x:c r="U24" s="76" t="n">
        <x:f>S24-T24</x:f>
        <x:v>10744.163555555553</x:v>
      </x:c>
    </x:row>
    <x:row r="25">
      <x:c r="A25" s="74" t="n">
        <x:v>47119</x:v>
      </x:c>
      <x:c r="B25" s="29" t="n">
        <x:v>2</x:v>
      </x:c>
      <x:c r="C25" s="29" t="n">
        <x:v>9</x:v>
      </x:c>
      <x:c r="D25" s="29" t="n">
        <x:v>21</x:v>
      </x:c>
      <x:c r="E25" s="75" t="n">
        <x:f>'Assumptions'!$B$8*POWER('Assumptions'!$B$15,INT((D25+11-'Assumptions'!$B$17)/12))+'Assumptions'!$B$9*POWER('Assumptions'!$B$15,INT((D25+11-'Assumptions'!$B$18)/12))</x:f>
        <x:v>15.12</x:v>
      </x:c>
      <x:c r="F25" s="76" t="n">
        <x:f>E25*'Assumptions'!$B$10/12</x:f>
        <x:v>239.39999999999998</x:v>
      </x:c>
      <x:c r="G25" s="75" t="n">
        <x:f>'Assumptions'!$B$20*'Assumptions'!$B$21+'Assumptions'!$C$20*C25/12</x:f>
        <x:v>247.5</x:v>
      </x:c>
      <x:c r="H25" s="76" t="n">
        <x:f>G25*'Assumptions'!$C$22</x:f>
        <x:v>4455</x:v>
      </x:c>
      <x:c r="I25" s="75" t="n">
        <x:f>'Assumptions'!$B$11*POWER('Assumptions'!$B$16,INT((D25+11-'Assumptions'!$B$17)/12))+'Assumptions'!$B$12*POWER('Assumptions'!$B$16,INT((D25+11-'Assumptions'!$B$18)/12))</x:f>
        <x:v>1.62</x:v>
      </x:c>
      <x:c r="J25" s="76" t="n">
        <x:f>I25*'Assumptions'!$B$13*'Assumptions'!$B$14/12</x:f>
        <x:v>97.2</x:v>
      </x:c>
      <x:c r="K25" s="75" t="n">
        <x:f>'Assumptions'!$B$23*'Assumptions'!$B$24+'Assumptions'!$C$23*C25/12</x:f>
        <x:v>40.5</x:v>
      </x:c>
      <x:c r="L25" s="76" t="n">
        <x:f>K25*'Assumptions'!$C$25*'Assumptions'!$C$26</x:f>
        <x:v>8019</x:v>
      </x:c>
      <x:c r="M25" s="75" t="n">
        <x:f>'Assumptions'!$B$27*'Assumptions'!$B$24+'Assumptions'!$C$27*C25/12</x:f>
        <x:v>0.75</x:v>
      </x:c>
      <x:c r="N25" s="76" t="n">
        <x:f>M25*'Assumptions'!$C$28/12</x:f>
        <x:v>1250</x:v>
      </x:c>
      <x:c r="O25" s="75" t="n">
        <x:f>'Assumptions'!$B$29*'Assumptions'!$B$30+'Assumptions'!$C$29*C25/12</x:f>
        <x:v>51.5</x:v>
      </x:c>
      <x:c r="P25" s="76" t="n">
        <x:f>O25*'Assumptions'!$C$31</x:f>
        <x:v>2317.5</x:v>
      </x:c>
      <x:c r="Q25" s="75" t="n">
        <x:f>('Assumptions'!$C$23+'Assumptions'!$C$27)/12</x:f>
        <x:v>2.5833333333333335</x:v>
      </x:c>
      <x:c r="R25" s="76" t="n">
        <x:f>Q25*'Assumptions'!$C$32</x:f>
        <x:v>2325</x:v>
      </x:c>
      <x:c r="S25" s="76" t="n">
        <x:f>SUM(F25,H25,J25,L25,N25,P25,R25)</x:f>
        <x:v>18703.1</x:v>
      </x:c>
      <x:c r="T25" s="76" t="n">
        <x:f>(F25+H25+J25+L25+N25)*'Assumptions'!$C$33+P25*'Assumptions'!$C$34+R25*'Assumptions'!$C$35</x:f>
        <x:v>7169.767</x:v>
      </x:c>
      <x:c r="U25" s="76" t="n">
        <x:f>S25-T25</x:f>
        <x:v>11533.332999999999</x:v>
      </x:c>
    </x:row>
    <x:row r="26">
      <x:c r="A26" s="74" t="n">
        <x:v>47150</x:v>
      </x:c>
      <x:c r="B26" s="29" t="n">
        <x:v>2</x:v>
      </x:c>
      <x:c r="C26" s="29" t="n">
        <x:v>10</x:v>
      </x:c>
      <x:c r="D26" s="29" t="n">
        <x:v>22</x:v>
      </x:c>
      <x:c r="E26" s="75" t="n">
        <x:f>'Assumptions'!$B$8*POWER('Assumptions'!$B$15,INT((D26+11-'Assumptions'!$B$17)/12))+'Assumptions'!$B$9*POWER('Assumptions'!$B$15,INT((D26+11-'Assumptions'!$B$18)/12))</x:f>
        <x:v>15.12</x:v>
      </x:c>
      <x:c r="F26" s="76" t="n">
        <x:f>E26*'Assumptions'!$B$10/12</x:f>
        <x:v>239.39999999999998</x:v>
      </x:c>
      <x:c r="G26" s="75" t="n">
        <x:f>'Assumptions'!$B$20*'Assumptions'!$B$21+'Assumptions'!$C$20*C26/12</x:f>
        <x:v>268.33333333333337</x:v>
      </x:c>
      <x:c r="H26" s="76" t="n">
        <x:f>G26*'Assumptions'!$C$22</x:f>
        <x:v>4830.000000000001</x:v>
      </x:c>
      <x:c r="I26" s="75" t="n">
        <x:f>'Assumptions'!$B$11*POWER('Assumptions'!$B$16,INT((D26+11-'Assumptions'!$B$17)/12))+'Assumptions'!$B$12*POWER('Assumptions'!$B$16,INT((D26+11-'Assumptions'!$B$18)/12))</x:f>
        <x:v>1.62</x:v>
      </x:c>
      <x:c r="J26" s="76" t="n">
        <x:f>I26*'Assumptions'!$B$13*'Assumptions'!$B$14/12</x:f>
        <x:v>97.2</x:v>
      </x:c>
      <x:c r="K26" s="75" t="n">
        <x:f>'Assumptions'!$B$23*'Assumptions'!$B$24+'Assumptions'!$C$23*C26/12</x:f>
        <x:v>43</x:v>
      </x:c>
      <x:c r="L26" s="76" t="n">
        <x:f>K26*'Assumptions'!$C$25*'Assumptions'!$C$26</x:f>
        <x:v>8514</x:v>
      </x:c>
      <x:c r="M26" s="75" t="n">
        <x:f>'Assumptions'!$B$27*'Assumptions'!$B$24+'Assumptions'!$C$27*C26/12</x:f>
        <x:v>0.8333333333333334</x:v>
      </x:c>
      <x:c r="N26" s="76" t="n">
        <x:f>M26*'Assumptions'!$C$28/12</x:f>
        <x:v>1388.888888888889</x:v>
      </x:c>
      <x:c r="O26" s="75" t="n">
        <x:f>'Assumptions'!$B$29*'Assumptions'!$B$30+'Assumptions'!$C$29*C26/12</x:f>
        <x:v>55.666666666666664</x:v>
      </x:c>
      <x:c r="P26" s="76" t="n">
        <x:f>O26*'Assumptions'!$C$31</x:f>
        <x:v>2505</x:v>
      </x:c>
      <x:c r="Q26" s="75" t="n">
        <x:f>('Assumptions'!$C$23+'Assumptions'!$C$27)/12</x:f>
        <x:v>2.5833333333333335</x:v>
      </x:c>
      <x:c r="R26" s="76" t="n">
        <x:f>Q26*'Assumptions'!$C$32</x:f>
        <x:v>2325</x:v>
      </x:c>
      <x:c r="S26" s="76" t="n">
        <x:f>SUM(F26,H26,J26,L26,N26,P26,R26)</x:f>
        <x:v>19899.48888888889</x:v>
      </x:c>
      <x:c r="T26" s="76" t="n">
        <x:f>(F26+H26+J26+L26+N26)*'Assumptions'!$C$33+P26*'Assumptions'!$C$34+R26*'Assumptions'!$C$35</x:f>
        <x:v>7576.986444444445</x:v>
      </x:c>
      <x:c r="U26" s="76" t="n">
        <x:f>S26-T26</x:f>
        <x:v>12322.502444444444</x:v>
      </x:c>
    </x:row>
    <x:row r="27">
      <x:c r="A27" s="74" t="n">
        <x:v>47178</x:v>
      </x:c>
      <x:c r="B27" s="29" t="n">
        <x:v>2</x:v>
      </x:c>
      <x:c r="C27" s="29" t="n">
        <x:v>11</x:v>
      </x:c>
      <x:c r="D27" s="29" t="n">
        <x:v>23</x:v>
      </x:c>
      <x:c r="E27" s="75" t="n">
        <x:f>'Assumptions'!$B$8*POWER('Assumptions'!$B$15,INT((D27+11-'Assumptions'!$B$17)/12))+'Assumptions'!$B$9*POWER('Assumptions'!$B$15,INT((D27+11-'Assumptions'!$B$18)/12))</x:f>
        <x:v>10.8</x:v>
      </x:c>
      <x:c r="F27" s="76" t="n">
        <x:f>E27*'Assumptions'!$B$10/12</x:f>
        <x:v>171</x:v>
      </x:c>
      <x:c r="G27" s="75" t="n">
        <x:f>'Assumptions'!$B$20*'Assumptions'!$B$21+'Assumptions'!$C$20*C27/12</x:f>
        <x:v>289.16666666666663</x:v>
      </x:c>
      <x:c r="H27" s="76" t="n">
        <x:f>G27*'Assumptions'!$C$22</x:f>
        <x:v>5204.999999999999</x:v>
      </x:c>
      <x:c r="I27" s="75" t="n">
        <x:f>'Assumptions'!$B$11*POWER('Assumptions'!$B$16,INT((D27+11-'Assumptions'!$B$17)/12))+'Assumptions'!$B$12*POWER('Assumptions'!$B$16,INT((D27+11-'Assumptions'!$B$18)/12))</x:f>
        <x:v>1.62</x:v>
      </x:c>
      <x:c r="J27" s="76" t="n">
        <x:f>I27*'Assumptions'!$B$13*'Assumptions'!$B$14/12</x:f>
        <x:v>97.2</x:v>
      </x:c>
      <x:c r="K27" s="75" t="n">
        <x:f>'Assumptions'!$B$23*'Assumptions'!$B$24+'Assumptions'!$C$23*C27/12</x:f>
        <x:v>45.5</x:v>
      </x:c>
      <x:c r="L27" s="76" t="n">
        <x:f>K27*'Assumptions'!$C$25*'Assumptions'!$C$26</x:f>
        <x:v>9009</x:v>
      </x:c>
      <x:c r="M27" s="75" t="n">
        <x:f>'Assumptions'!$B$27*'Assumptions'!$B$24+'Assumptions'!$C$27*C27/12</x:f>
        <x:v>0.9166666666666666</x:v>
      </x:c>
      <x:c r="N27" s="76" t="n">
        <x:f>M27*'Assumptions'!$C$28/12</x:f>
        <x:v>1527.7777777777776</x:v>
      </x:c>
      <x:c r="O27" s="75" t="n">
        <x:f>'Assumptions'!$B$29*'Assumptions'!$B$30+'Assumptions'!$C$29*C27/12</x:f>
        <x:v>59.833333333333336</x:v>
      </x:c>
      <x:c r="P27" s="76" t="n">
        <x:f>O27*'Assumptions'!$C$31</x:f>
        <x:v>2692.5</x:v>
      </x:c>
      <x:c r="Q27" s="75" t="n">
        <x:f>('Assumptions'!$C$23+'Assumptions'!$C$27)/12</x:f>
        <x:v>2.5833333333333335</x:v>
      </x:c>
      <x:c r="R27" s="76" t="n">
        <x:f>Q27*'Assumptions'!$C$32</x:f>
        <x:v>2325</x:v>
      </x:c>
      <x:c r="S27" s="76" t="n">
        <x:f>SUM(F27,H27,J27,L27,N27,P27,R27)</x:f>
        <x:v>21027.477777777778</x:v>
      </x:c>
      <x:c r="T27" s="76" t="n">
        <x:f>(F27+H27+J27+L27+N27)*'Assumptions'!$C$33+P27*'Assumptions'!$C$34+R27*'Assumptions'!$C$35</x:f>
        <x:v>7962.317888888889</x:v>
      </x:c>
      <x:c r="U27" s="76" t="n">
        <x:f>S27-T27</x:f>
        <x:v>13065.15988888889</x:v>
      </x:c>
    </x:row>
    <x:row r="28">
      <x:c r="A28" s="74" t="n">
        <x:v>47209</x:v>
      </x:c>
      <x:c r="B28" s="29" t="n">
        <x:v>2</x:v>
      </x:c>
      <x:c r="C28" s="29" t="n">
        <x:v>12</x:v>
      </x:c>
      <x:c r="D28" s="29" t="n">
        <x:v>24</x:v>
      </x:c>
      <x:c r="E28" s="75" t="n">
        <x:f>'Assumptions'!$B$8*POWER('Assumptions'!$B$15,INT((D28+11-'Assumptions'!$B$17)/12))+'Assumptions'!$B$9*POWER('Assumptions'!$B$15,INT((D28+11-'Assumptions'!$B$18)/12))</x:f>
        <x:v>10.8</x:v>
      </x:c>
      <x:c r="F28" s="76" t="n">
        <x:f>E28*'Assumptions'!$B$10/12</x:f>
        <x:v>171</x:v>
      </x:c>
      <x:c r="G28" s="75" t="n">
        <x:f>'Assumptions'!$B$20*'Assumptions'!$B$21+'Assumptions'!$C$20*C28/12</x:f>
        <x:v>310</x:v>
      </x:c>
      <x:c r="H28" s="76" t="n">
        <x:f>G28*'Assumptions'!$C$22</x:f>
        <x:v>5580</x:v>
      </x:c>
      <x:c r="I28" s="75" t="n">
        <x:f>'Assumptions'!$B$11*POWER('Assumptions'!$B$16,INT((D28+11-'Assumptions'!$B$17)/12))+'Assumptions'!$B$12*POWER('Assumptions'!$B$16,INT((D28+11-'Assumptions'!$B$18)/12))</x:f>
        <x:v>1.62</x:v>
      </x:c>
      <x:c r="J28" s="76" t="n">
        <x:f>I28*'Assumptions'!$B$13*'Assumptions'!$B$14/12</x:f>
        <x:v>97.2</x:v>
      </x:c>
      <x:c r="K28" s="75" t="n">
        <x:f>'Assumptions'!$B$23*'Assumptions'!$B$24+'Assumptions'!$C$23*C28/12</x:f>
        <x:v>48</x:v>
      </x:c>
      <x:c r="L28" s="76" t="n">
        <x:f>K28*'Assumptions'!$C$25*'Assumptions'!$C$26</x:f>
        <x:v>9504</x:v>
      </x:c>
      <x:c r="M28" s="75" t="n">
        <x:f>'Assumptions'!$B$27*'Assumptions'!$B$24+'Assumptions'!$C$27*C28/12</x:f>
        <x:v>1</x:v>
      </x:c>
      <x:c r="N28" s="76" t="n">
        <x:f>M28*'Assumptions'!$C$28/12</x:f>
        <x:v>1666.6666666666667</x:v>
      </x:c>
      <x:c r="O28" s="75" t="n">
        <x:f>'Assumptions'!$B$29*'Assumptions'!$B$30+'Assumptions'!$C$29*C28/12</x:f>
        <x:v>64</x:v>
      </x:c>
      <x:c r="P28" s="76" t="n">
        <x:f>O28*'Assumptions'!$C$31</x:f>
        <x:v>2880</x:v>
      </x:c>
      <x:c r="Q28" s="75" t="n">
        <x:f>('Assumptions'!$C$23+'Assumptions'!$C$27)/12</x:f>
        <x:v>2.5833333333333335</x:v>
      </x:c>
      <x:c r="R28" s="76" t="n">
        <x:f>Q28*'Assumptions'!$C$32</x:f>
        <x:v>2325</x:v>
      </x:c>
      <x:c r="S28" s="76" t="n">
        <x:f>SUM(F28,H28,J28,L28,N28,P28,R28)</x:f>
        <x:v>22223.86666666667</x:v>
      </x:c>
      <x:c r="T28" s="76" t="n">
        <x:f>(F28+H28+J28+L28+N28)*'Assumptions'!$C$33+P28*'Assumptions'!$C$34+R28*'Assumptions'!$C$35</x:f>
        <x:v>8369.537333333334</x:v>
      </x:c>
      <x:c r="U28" s="76" t="n">
        <x:f>S28-T28</x:f>
        <x:v>13854.329333333335</x:v>
      </x:c>
    </x:row>
    <x:row r="29">
      <x:c r="A29" s="74" t="n">
        <x:v>47239</x:v>
      </x:c>
      <x:c r="B29" s="29" t="n">
        <x:v>3</x:v>
      </x:c>
      <x:c r="C29" s="29" t="n">
        <x:v>1</x:v>
      </x:c>
      <x:c r="D29" s="29" t="n">
        <x:v>25</x:v>
      </x:c>
      <x:c r="E29" s="75" t="n">
        <x:f>'Assumptions'!$B$8*POWER('Assumptions'!$B$15,INT((D29+11-'Assumptions'!$B$17)/12))+'Assumptions'!$B$9*POWER('Assumptions'!$B$15,INT((D29+11-'Assumptions'!$B$18)/12))</x:f>
        <x:v>10.8</x:v>
      </x:c>
      <x:c r="F29" s="76" t="n">
        <x:f>E29*'Assumptions'!$B$10/12</x:f>
        <x:v>171</x:v>
      </x:c>
      <x:c r="G29" s="75" t="n">
        <x:f>'Assumptions'!$B$20*'Assumptions'!$B$21^2+'Assumptions'!$C$20*'Assumptions'!$C$21+'Assumptions'!$D$20*C29/12</x:f>
        <x:v>227.66666666666666</x:v>
      </x:c>
      <x:c r="H29" s="76" t="n">
        <x:f>G29*'Assumptions'!$D$22</x:f>
        <x:v>4553.333333333333</x:v>
      </x:c>
      <x:c r="I29" s="75" t="n">
        <x:f>'Assumptions'!$B$11*POWER('Assumptions'!$B$16,INT((D29+11-'Assumptions'!$B$17)/12))+'Assumptions'!$B$12*POWER('Assumptions'!$B$16,INT((D29+11-'Assumptions'!$B$18)/12))</x:f>
        <x:v>1.62</x:v>
      </x:c>
      <x:c r="J29" s="76" t="n">
        <x:f>I29*'Assumptions'!$B$13*'Assumptions'!$B$14/12</x:f>
        <x:v>97.2</x:v>
      </x:c>
      <x:c r="K29" s="75" t="n">
        <x:f>'Assumptions'!$B$23*'Assumptions'!$B$24^2+'Assumptions'!$C$23*'Assumptions'!$C$24+'Assumptions'!$D$23*C29/12</x:f>
        <x:v>48.2</x:v>
      </x:c>
      <x:c r="L29" s="76" t="n">
        <x:f>K29*'Assumptions'!$D$25*'Assumptions'!$D$26</x:f>
        <x:v>11568</x:v>
      </x:c>
      <x:c r="M29" s="75" t="n">
        <x:f>'Assumptions'!$B$27*'Assumptions'!$B$24^2+'Assumptions'!$C$27*'Assumptions'!$C$24+'Assumptions'!$D$27*C29/12</x:f>
        <x:v>1.15</x:v>
      </x:c>
      <x:c r="N29" s="76" t="n">
        <x:f>M29*'Assumptions'!$D$28/12</x:f>
        <x:v>2108.333333333333</x:v>
      </x:c>
      <x:c r="O29" s="75" t="n">
        <x:f>'Assumptions'!$B$29*'Assumptions'!$B$30^2+'Assumptions'!$C$29*'Assumptions'!$C$30+'Assumptions'!$D$29*C29/12</x:f>
        <x:v>54.8</x:v>
      </x:c>
      <x:c r="P29" s="76" t="n">
        <x:f>O29*'Assumptions'!$D$31</x:f>
        <x:v>3288</x:v>
      </x:c>
      <x:c r="Q29" s="75" t="n">
        <x:f>('Assumptions'!$D$23+'Assumptions'!$D$27)/12</x:f>
        <x:v>5.25</x:v>
      </x:c>
      <x:c r="R29" s="76" t="n">
        <x:f>Q29*'Assumptions'!$D$32</x:f>
        <x:v>3937.5</x:v>
      </x:c>
      <x:c r="S29" s="76" t="n">
        <x:f>SUM(F29,H29,J29,L29,N29,P29,R29)</x:f>
        <x:v>25723.366666666665</x:v>
      </x:c>
      <x:c r="T29" s="76" t="n">
        <x:f>(F29+H29+J29+L29+N29)*'Assumptions'!$D$33+P29*'Assumptions'!$D$34+R29*'Assumptions'!$D$35</x:f>
        <x:v>9620.81</x:v>
      </x:c>
      <x:c r="U29" s="76" t="n">
        <x:f>S29-T29</x:f>
        <x:v>16102.556666666665</x:v>
      </x:c>
    </x:row>
    <x:row r="30">
      <x:c r="A30" s="74" t="n">
        <x:v>47270</x:v>
      </x:c>
      <x:c r="B30" s="29" t="n">
        <x:v>3</x:v>
      </x:c>
      <x:c r="C30" s="29" t="n">
        <x:v>2</x:v>
      </x:c>
      <x:c r="D30" s="29" t="n">
        <x:v>26</x:v>
      </x:c>
      <x:c r="E30" s="75" t="n">
        <x:f>'Assumptions'!$B$8*POWER('Assumptions'!$B$15,INT((D30+11-'Assumptions'!$B$17)/12))+'Assumptions'!$B$9*POWER('Assumptions'!$B$15,INT((D30+11-'Assumptions'!$B$18)/12))</x:f>
        <x:v>10.8</x:v>
      </x:c>
      <x:c r="F30" s="76" t="n">
        <x:f>E30*'Assumptions'!$B$10/12</x:f>
        <x:v>171</x:v>
      </x:c>
      <x:c r="G30" s="75" t="n">
        <x:f>'Assumptions'!$B$20*'Assumptions'!$B$21^2+'Assumptions'!$C$20*'Assumptions'!$C$21+'Assumptions'!$D$20*C30/12</x:f>
        <x:v>269.3333333333333</x:v>
      </x:c>
      <x:c r="H30" s="76" t="n">
        <x:f>G30*'Assumptions'!$D$22</x:f>
        <x:v>5386.666666666666</x:v>
      </x:c>
      <x:c r="I30" s="75" t="n">
        <x:f>'Assumptions'!$B$11*POWER('Assumptions'!$B$16,INT((D30+11-'Assumptions'!$B$17)/12))+'Assumptions'!$B$12*POWER('Assumptions'!$B$16,INT((D30+11-'Assumptions'!$B$18)/12))</x:f>
        <x:v>1.62</x:v>
      </x:c>
      <x:c r="J30" s="76" t="n">
        <x:f>I30*'Assumptions'!$B$13*'Assumptions'!$B$14/12</x:f>
        <x:v>97.2</x:v>
      </x:c>
      <x:c r="K30" s="75" t="n">
        <x:f>'Assumptions'!$B$23*'Assumptions'!$B$24^2+'Assumptions'!$C$23*'Assumptions'!$C$24+'Assumptions'!$D$23*C30/12</x:f>
        <x:v>53.2</x:v>
      </x:c>
      <x:c r="L30" s="76" t="n">
        <x:f>K30*'Assumptions'!$D$25*'Assumptions'!$D$26</x:f>
        <x:v>12768</x:v>
      </x:c>
      <x:c r="M30" s="75" t="n">
        <x:f>'Assumptions'!$B$27*'Assumptions'!$B$24^2+'Assumptions'!$C$27*'Assumptions'!$C$24+'Assumptions'!$D$27*C30/12</x:f>
        <x:v>1.4</x:v>
      </x:c>
      <x:c r="N30" s="76" t="n">
        <x:f>M30*'Assumptions'!$D$28/12</x:f>
        <x:v>2566.6666666666665</x:v>
      </x:c>
      <x:c r="O30" s="75" t="n">
        <x:f>'Assumptions'!$B$29*'Assumptions'!$B$30^2+'Assumptions'!$C$29*'Assumptions'!$C$30+'Assumptions'!$D$29*C30/12</x:f>
        <x:v>64.8</x:v>
      </x:c>
      <x:c r="P30" s="76" t="n">
        <x:f>O30*'Assumptions'!$D$31</x:f>
        <x:v>3888</x:v>
      </x:c>
      <x:c r="Q30" s="75" t="n">
        <x:f>('Assumptions'!$D$23+'Assumptions'!$D$27)/12</x:f>
        <x:v>5.25</x:v>
      </x:c>
      <x:c r="R30" s="76" t="n">
        <x:f>Q30*'Assumptions'!$D$32</x:f>
        <x:v>3937.5</x:v>
      </x:c>
      <x:c r="S30" s="76" t="n">
        <x:f>SUM(F30,H30,J30,L30,N30,P30,R30)</x:f>
        <x:v>28815.033333333333</x:v>
      </x:c>
      <x:c r="T30" s="76" t="n">
        <x:f>(F30+H30+J30+L30+N30)*'Assumptions'!$D$33+P30*'Assumptions'!$D$34+R30*'Assumptions'!$D$35</x:f>
        <x:v>10608.31</x:v>
      </x:c>
      <x:c r="U30" s="76" t="n">
        <x:f>S30-T30</x:f>
        <x:v>18206.723333333335</x:v>
      </x:c>
    </x:row>
    <x:row r="31">
      <x:c r="A31" s="74" t="n">
        <x:v>47300</x:v>
      </x:c>
      <x:c r="B31" s="29" t="n">
        <x:v>3</x:v>
      </x:c>
      <x:c r="C31" s="29" t="n">
        <x:v>3</x:v>
      </x:c>
      <x:c r="D31" s="29" t="n">
        <x:v>27</x:v>
      </x:c>
      <x:c r="E31" s="75" t="n">
        <x:f>'Assumptions'!$B$8*POWER('Assumptions'!$B$15,INT((D31+11-'Assumptions'!$B$17)/12))+'Assumptions'!$B$9*POWER('Assumptions'!$B$15,INT((D31+11-'Assumptions'!$B$18)/12))</x:f>
        <x:v>10.8</x:v>
      </x:c>
      <x:c r="F31" s="76" t="n">
        <x:f>E31*'Assumptions'!$B$10/12</x:f>
        <x:v>171</x:v>
      </x:c>
      <x:c r="G31" s="75" t="n">
        <x:f>'Assumptions'!$B$20*'Assumptions'!$B$21^2+'Assumptions'!$C$20*'Assumptions'!$C$21+'Assumptions'!$D$20*C31/12</x:f>
        <x:v>311</x:v>
      </x:c>
      <x:c r="H31" s="76" t="n">
        <x:f>G31*'Assumptions'!$D$22</x:f>
        <x:v>6220</x:v>
      </x:c>
      <x:c r="I31" s="75" t="n">
        <x:f>'Assumptions'!$B$11*POWER('Assumptions'!$B$16,INT((D31+11-'Assumptions'!$B$17)/12))+'Assumptions'!$B$12*POWER('Assumptions'!$B$16,INT((D31+11-'Assumptions'!$B$18)/12))</x:f>
        <x:v>1.62</x:v>
      </x:c>
      <x:c r="J31" s="76" t="n">
        <x:f>I31*'Assumptions'!$B$13*'Assumptions'!$B$14/12</x:f>
        <x:v>97.2</x:v>
      </x:c>
      <x:c r="K31" s="75" t="n">
        <x:f>'Assumptions'!$B$23*'Assumptions'!$B$24^2+'Assumptions'!$C$23*'Assumptions'!$C$24+'Assumptions'!$D$23*C31/12</x:f>
        <x:v>58.2</x:v>
      </x:c>
      <x:c r="L31" s="76" t="n">
        <x:f>K31*'Assumptions'!$D$25*'Assumptions'!$D$26</x:f>
        <x:v>13968</x:v>
      </x:c>
      <x:c r="M31" s="75" t="n">
        <x:f>'Assumptions'!$B$27*'Assumptions'!$B$24^2+'Assumptions'!$C$27*'Assumptions'!$C$24+'Assumptions'!$D$27*C31/12</x:f>
        <x:v>1.65</x:v>
      </x:c>
      <x:c r="N31" s="76" t="n">
        <x:f>M31*'Assumptions'!$D$28/12</x:f>
        <x:v>3025</x:v>
      </x:c>
      <x:c r="O31" s="75" t="n">
        <x:f>'Assumptions'!$B$29*'Assumptions'!$B$30^2+'Assumptions'!$C$29*'Assumptions'!$C$30+'Assumptions'!$D$29*C31/12</x:f>
        <x:v>74.8</x:v>
      </x:c>
      <x:c r="P31" s="76" t="n">
        <x:f>O31*'Assumptions'!$D$31</x:f>
        <x:v>4488</x:v>
      </x:c>
      <x:c r="Q31" s="75" t="n">
        <x:f>('Assumptions'!$D$23+'Assumptions'!$D$27)/12</x:f>
        <x:v>5.25</x:v>
      </x:c>
      <x:c r="R31" s="76" t="n">
        <x:f>Q31*'Assumptions'!$D$32</x:f>
        <x:v>3937.5</x:v>
      </x:c>
      <x:c r="S31" s="76" t="n">
        <x:f>SUM(F31,H31,J31,L31,N31,P31,R31)</x:f>
        <x:v>31906.7</x:v>
      </x:c>
      <x:c r="T31" s="76" t="n">
        <x:f>(F31+H31+J31+L31+N31)*'Assumptions'!$D$33+P31*'Assumptions'!$D$34+R31*'Assumptions'!$D$35</x:f>
        <x:v>11595.81</x:v>
      </x:c>
      <x:c r="U31" s="76" t="n">
        <x:f>S31-T31</x:f>
        <x:v>20310.89</x:v>
      </x:c>
    </x:row>
    <x:row r="32">
      <x:c r="A32" s="74" t="n">
        <x:v>47331</x:v>
      </x:c>
      <x:c r="B32" s="29" t="n">
        <x:v>3</x:v>
      </x:c>
      <x:c r="C32" s="29" t="n">
        <x:v>4</x:v>
      </x:c>
      <x:c r="D32" s="29" t="n">
        <x:v>28</x:v>
      </x:c>
      <x:c r="E32" s="75" t="n">
        <x:f>'Assumptions'!$B$8*POWER('Assumptions'!$B$15,INT((D32+11-'Assumptions'!$B$17)/12))+'Assumptions'!$B$9*POWER('Assumptions'!$B$15,INT((D32+11-'Assumptions'!$B$18)/12))</x:f>
        <x:v>10.8</x:v>
      </x:c>
      <x:c r="F32" s="76" t="n">
        <x:f>E32*'Assumptions'!$B$10/12</x:f>
        <x:v>171</x:v>
      </x:c>
      <x:c r="G32" s="75" t="n">
        <x:f>'Assumptions'!$B$20*'Assumptions'!$B$21^2+'Assumptions'!$C$20*'Assumptions'!$C$21+'Assumptions'!$D$20*C32/12</x:f>
        <x:v>352.66666666666663</x:v>
      </x:c>
      <x:c r="H32" s="76" t="n">
        <x:f>G32*'Assumptions'!$D$22</x:f>
        <x:v>7053.333333333332</x:v>
      </x:c>
      <x:c r="I32" s="75" t="n">
        <x:f>'Assumptions'!$B$11*POWER('Assumptions'!$B$16,INT((D32+11-'Assumptions'!$B$17)/12))+'Assumptions'!$B$12*POWER('Assumptions'!$B$16,INT((D32+11-'Assumptions'!$B$18)/12))</x:f>
        <x:v>1.62</x:v>
      </x:c>
      <x:c r="J32" s="76" t="n">
        <x:f>I32*'Assumptions'!$B$13*'Assumptions'!$B$14/12</x:f>
        <x:v>97.2</x:v>
      </x:c>
      <x:c r="K32" s="75" t="n">
        <x:f>'Assumptions'!$B$23*'Assumptions'!$B$24^2+'Assumptions'!$C$23*'Assumptions'!$C$24+'Assumptions'!$D$23*C32/12</x:f>
        <x:v>63.2</x:v>
      </x:c>
      <x:c r="L32" s="76" t="n">
        <x:f>K32*'Assumptions'!$D$25*'Assumptions'!$D$26</x:f>
        <x:v>15168</x:v>
      </x:c>
      <x:c r="M32" s="75" t="n">
        <x:f>'Assumptions'!$B$27*'Assumptions'!$B$24^2+'Assumptions'!$C$27*'Assumptions'!$C$24+'Assumptions'!$D$27*C32/12</x:f>
        <x:v>1.9</x:v>
      </x:c>
      <x:c r="N32" s="76" t="n">
        <x:f>M32*'Assumptions'!$D$28/12</x:f>
        <x:v>3483.3333333333335</x:v>
      </x:c>
      <x:c r="O32" s="75" t="n">
        <x:f>'Assumptions'!$B$29*'Assumptions'!$B$30^2+'Assumptions'!$C$29*'Assumptions'!$C$30+'Assumptions'!$D$29*C32/12</x:f>
        <x:v>84.8</x:v>
      </x:c>
      <x:c r="P32" s="76" t="n">
        <x:f>O32*'Assumptions'!$D$31</x:f>
        <x:v>5088</x:v>
      </x:c>
      <x:c r="Q32" s="75" t="n">
        <x:f>('Assumptions'!$D$23+'Assumptions'!$D$27)/12</x:f>
        <x:v>5.25</x:v>
      </x:c>
      <x:c r="R32" s="76" t="n">
        <x:f>Q32*'Assumptions'!$D$32</x:f>
        <x:v>3937.5</x:v>
      </x:c>
      <x:c r="S32" s="76" t="n">
        <x:f>SUM(F32,H32,J32,L32,N32,P32,R32)</x:f>
        <x:v>34998.36666666667</x:v>
      </x:c>
      <x:c r="T32" s="76" t="n">
        <x:f>(F32+H32+J32+L32+N32)*'Assumptions'!$D$33+P32*'Assumptions'!$D$34+R32*'Assumptions'!$D$35</x:f>
        <x:v>12583.31</x:v>
      </x:c>
      <x:c r="U32" s="76" t="n">
        <x:f>S32-T32</x:f>
        <x:v>22415.05666666667</x:v>
      </x:c>
    </x:row>
    <x:row r="33">
      <x:c r="A33" s="74" t="n">
        <x:v>47362</x:v>
      </x:c>
      <x:c r="B33" s="29" t="n">
        <x:v>3</x:v>
      </x:c>
      <x:c r="C33" s="29" t="n">
        <x:v>5</x:v>
      </x:c>
      <x:c r="D33" s="29" t="n">
        <x:v>29</x:v>
      </x:c>
      <x:c r="E33" s="75" t="n">
        <x:f>'Assumptions'!$B$8*POWER('Assumptions'!$B$15,INT((D33+11-'Assumptions'!$B$17)/12))+'Assumptions'!$B$9*POWER('Assumptions'!$B$15,INT((D33+11-'Assumptions'!$B$18)/12))</x:f>
        <x:v>10.8</x:v>
      </x:c>
      <x:c r="F33" s="76" t="n">
        <x:f>E33*'Assumptions'!$B$10/12</x:f>
        <x:v>171</x:v>
      </x:c>
      <x:c r="G33" s="75" t="n">
        <x:f>'Assumptions'!$B$20*'Assumptions'!$B$21^2+'Assumptions'!$C$20*'Assumptions'!$C$21+'Assumptions'!$D$20*C33/12</x:f>
        <x:v>394.33333333333337</x:v>
      </x:c>
      <x:c r="H33" s="76" t="n">
        <x:f>G33*'Assumptions'!$D$22</x:f>
        <x:v>7886.666666666668</x:v>
      </x:c>
      <x:c r="I33" s="75" t="n">
        <x:f>'Assumptions'!$B$11*POWER('Assumptions'!$B$16,INT((D33+11-'Assumptions'!$B$17)/12))+'Assumptions'!$B$12*POWER('Assumptions'!$B$16,INT((D33+11-'Assumptions'!$B$18)/12))</x:f>
        <x:v>1.62</x:v>
      </x:c>
      <x:c r="J33" s="76" t="n">
        <x:f>I33*'Assumptions'!$B$13*'Assumptions'!$B$14/12</x:f>
        <x:v>97.2</x:v>
      </x:c>
      <x:c r="K33" s="75" t="n">
        <x:f>'Assumptions'!$B$23*'Assumptions'!$B$24^2+'Assumptions'!$C$23*'Assumptions'!$C$24+'Assumptions'!$D$23*C33/12</x:f>
        <x:v>68.2</x:v>
      </x:c>
      <x:c r="L33" s="76" t="n">
        <x:f>K33*'Assumptions'!$D$25*'Assumptions'!$D$26</x:f>
        <x:v>16368</x:v>
      </x:c>
      <x:c r="M33" s="75" t="n">
        <x:f>'Assumptions'!$B$27*'Assumptions'!$B$24^2+'Assumptions'!$C$27*'Assumptions'!$C$24+'Assumptions'!$D$27*C33/12</x:f>
        <x:v>2.15</x:v>
      </x:c>
      <x:c r="N33" s="76" t="n">
        <x:f>M33*'Assumptions'!$D$28/12</x:f>
        <x:v>3941.6666666666665</x:v>
      </x:c>
      <x:c r="O33" s="75" t="n">
        <x:f>'Assumptions'!$B$29*'Assumptions'!$B$30^2+'Assumptions'!$C$29*'Assumptions'!$C$30+'Assumptions'!$D$29*C33/12</x:f>
        <x:v>94.8</x:v>
      </x:c>
      <x:c r="P33" s="76" t="n">
        <x:f>O33*'Assumptions'!$D$31</x:f>
        <x:v>5688</x:v>
      </x:c>
      <x:c r="Q33" s="75" t="n">
        <x:f>('Assumptions'!$D$23+'Assumptions'!$D$27)/12</x:f>
        <x:v>5.25</x:v>
      </x:c>
      <x:c r="R33" s="76" t="n">
        <x:f>Q33*'Assumptions'!$D$32</x:f>
        <x:v>3937.5</x:v>
      </x:c>
      <x:c r="S33" s="76" t="n">
        <x:f>SUM(F33,H33,J33,L33,N33,P33,R33)</x:f>
        <x:v>38090.03333333334</x:v>
      </x:c>
      <x:c r="T33" s="76" t="n">
        <x:f>(F33+H33+J33+L33+N33)*'Assumptions'!$D$33+P33*'Assumptions'!$D$34+R33*'Assumptions'!$D$35</x:f>
        <x:v>13570.810000000001</x:v>
      </x:c>
      <x:c r="U33" s="76" t="n">
        <x:f>S33-T33</x:f>
        <x:v>24519.22333333334</x:v>
      </x:c>
    </x:row>
    <x:row r="34">
      <x:c r="A34" s="74" t="n">
        <x:v>47392</x:v>
      </x:c>
      <x:c r="B34" s="29" t="n">
        <x:v>3</x:v>
      </x:c>
      <x:c r="C34" s="29" t="n">
        <x:v>6</x:v>
      </x:c>
      <x:c r="D34" s="29" t="n">
        <x:v>30</x:v>
      </x:c>
      <x:c r="E34" s="75" t="n">
        <x:f>'Assumptions'!$B$8*POWER('Assumptions'!$B$15,INT((D34+11-'Assumptions'!$B$17)/12))+'Assumptions'!$B$9*POWER('Assumptions'!$B$15,INT((D34+11-'Assumptions'!$B$18)/12))</x:f>
        <x:v>10.8</x:v>
      </x:c>
      <x:c r="F34" s="76" t="n">
        <x:f>E34*'Assumptions'!$B$10/12</x:f>
        <x:v>171</x:v>
      </x:c>
      <x:c r="G34" s="75" t="n">
        <x:f>'Assumptions'!$B$20*'Assumptions'!$B$21^2+'Assumptions'!$C$20*'Assumptions'!$C$21+'Assumptions'!$D$20*C34/12</x:f>
        <x:v>436</x:v>
      </x:c>
      <x:c r="H34" s="76" t="n">
        <x:f>G34*'Assumptions'!$D$22</x:f>
        <x:v>8720</x:v>
      </x:c>
      <x:c r="I34" s="75" t="n">
        <x:f>'Assumptions'!$B$11*POWER('Assumptions'!$B$16,INT((D34+11-'Assumptions'!$B$17)/12))+'Assumptions'!$B$12*POWER('Assumptions'!$B$16,INT((D34+11-'Assumptions'!$B$18)/12))</x:f>
        <x:v>1.62</x:v>
      </x:c>
      <x:c r="J34" s="76" t="n">
        <x:f>I34*'Assumptions'!$B$13*'Assumptions'!$B$14/12</x:f>
        <x:v>97.2</x:v>
      </x:c>
      <x:c r="K34" s="75" t="n">
        <x:f>'Assumptions'!$B$23*'Assumptions'!$B$24^2+'Assumptions'!$C$23*'Assumptions'!$C$24+'Assumptions'!$D$23*C34/12</x:f>
        <x:v>73.2</x:v>
      </x:c>
      <x:c r="L34" s="76" t="n">
        <x:f>K34*'Assumptions'!$D$25*'Assumptions'!$D$26</x:f>
        <x:v>17568</x:v>
      </x:c>
      <x:c r="M34" s="75" t="n">
        <x:f>'Assumptions'!$B$27*'Assumptions'!$B$24^2+'Assumptions'!$C$27*'Assumptions'!$C$24+'Assumptions'!$D$27*C34/12</x:f>
        <x:v>2.4</x:v>
      </x:c>
      <x:c r="N34" s="76" t="n">
        <x:f>M34*'Assumptions'!$D$28/12</x:f>
        <x:v>4400</x:v>
      </x:c>
      <x:c r="O34" s="75" t="n">
        <x:f>'Assumptions'!$B$29*'Assumptions'!$B$30^2+'Assumptions'!$C$29*'Assumptions'!$C$30+'Assumptions'!$D$29*C34/12</x:f>
        <x:v>104.8</x:v>
      </x:c>
      <x:c r="P34" s="76" t="n">
        <x:f>O34*'Assumptions'!$D$31</x:f>
        <x:v>6288</x:v>
      </x:c>
      <x:c r="Q34" s="75" t="n">
        <x:f>('Assumptions'!$D$23+'Assumptions'!$D$27)/12</x:f>
        <x:v>5.25</x:v>
      </x:c>
      <x:c r="R34" s="76" t="n">
        <x:f>Q34*'Assumptions'!$D$32</x:f>
        <x:v>3937.5</x:v>
      </x:c>
      <x:c r="S34" s="76" t="n">
        <x:f>SUM(F34,H34,J34,L34,N34,P34,R34)</x:f>
        <x:v>41181.7</x:v>
      </x:c>
      <x:c r="T34" s="76" t="n">
        <x:f>(F34+H34+J34+L34+N34)*'Assumptions'!$D$33+P34*'Assumptions'!$D$34+R34*'Assumptions'!$D$35</x:f>
        <x:v>14558.310000000001</x:v>
      </x:c>
      <x:c r="U34" s="76" t="n">
        <x:f>S34-T34</x:f>
        <x:v>26623.389999999996</x:v>
      </x:c>
    </x:row>
    <x:row r="35">
      <x:c r="A35" s="74" t="n">
        <x:v>47423</x:v>
      </x:c>
      <x:c r="B35" s="29" t="n">
        <x:v>3</x:v>
      </x:c>
      <x:c r="C35" s="29" t="n">
        <x:v>7</x:v>
      </x:c>
      <x:c r="D35" s="29" t="n">
        <x:v>31</x:v>
      </x:c>
      <x:c r="E35" s="75" t="n">
        <x:f>'Assumptions'!$B$8*POWER('Assumptions'!$B$15,INT((D35+11-'Assumptions'!$B$17)/12))+'Assumptions'!$B$9*POWER('Assumptions'!$B$15,INT((D35+11-'Assumptions'!$B$18)/12))</x:f>
        <x:v>9.072</x:v>
      </x:c>
      <x:c r="F35" s="76" t="n">
        <x:f>E35*'Assumptions'!$B$10/12</x:f>
        <x:v>143.64</x:v>
      </x:c>
      <x:c r="G35" s="75" t="n">
        <x:f>'Assumptions'!$B$20*'Assumptions'!$B$21^2+'Assumptions'!$C$20*'Assumptions'!$C$21+'Assumptions'!$D$20*C35/12</x:f>
        <x:v>477.6666666666667</x:v>
      </x:c>
      <x:c r="H35" s="76" t="n">
        <x:f>G35*'Assumptions'!$D$22</x:f>
        <x:v>9553.333333333334</x:v>
      </x:c>
      <x:c r="I35" s="75" t="n">
        <x:f>'Assumptions'!$B$11*POWER('Assumptions'!$B$16,INT((D35+11-'Assumptions'!$B$17)/12))+'Assumptions'!$B$12*POWER('Assumptions'!$B$16,INT((D35+11-'Assumptions'!$B$18)/12))</x:f>
        <x:v>1.4580000000000002</x:v>
      </x:c>
      <x:c r="J35" s="76" t="n">
        <x:f>I35*'Assumptions'!$B$13*'Assumptions'!$B$14/12</x:f>
        <x:v>87.48000000000002</x:v>
      </x:c>
      <x:c r="K35" s="75" t="n">
        <x:f>'Assumptions'!$B$23*'Assumptions'!$B$24^2+'Assumptions'!$C$23*'Assumptions'!$C$24+'Assumptions'!$D$23*C35/12</x:f>
        <x:v>78.2</x:v>
      </x:c>
      <x:c r="L35" s="76" t="n">
        <x:f>K35*'Assumptions'!$D$25*'Assumptions'!$D$26</x:f>
        <x:v>18768</x:v>
      </x:c>
      <x:c r="M35" s="75" t="n">
        <x:f>'Assumptions'!$B$27*'Assumptions'!$B$24^2+'Assumptions'!$C$27*'Assumptions'!$C$24+'Assumptions'!$D$27*C35/12</x:f>
        <x:v>2.65</x:v>
      </x:c>
      <x:c r="N35" s="76" t="n">
        <x:f>M35*'Assumptions'!$D$28/12</x:f>
        <x:v>4858.333333333333</x:v>
      </x:c>
      <x:c r="O35" s="75" t="n">
        <x:f>'Assumptions'!$B$29*'Assumptions'!$B$30^2+'Assumptions'!$C$29*'Assumptions'!$C$30+'Assumptions'!$D$29*C35/12</x:f>
        <x:v>114.8</x:v>
      </x:c>
      <x:c r="P35" s="76" t="n">
        <x:f>O35*'Assumptions'!$D$31</x:f>
        <x:v>6888</x:v>
      </x:c>
      <x:c r="Q35" s="75" t="n">
        <x:f>('Assumptions'!$D$23+'Assumptions'!$D$27)/12</x:f>
        <x:v>5.25</x:v>
      </x:c>
      <x:c r="R35" s="76" t="n">
        <x:f>Q35*'Assumptions'!$D$32</x:f>
        <x:v>3937.5</x:v>
      </x:c>
      <x:c r="S35" s="76" t="n">
        <x:f>SUM(F35,H35,J35,L35,N35,P35,R35)</x:f>
        <x:v>44236.28666666667</x:v>
      </x:c>
      <x:c r="T35" s="76" t="n">
        <x:f>(F35+H35+J35+L35+N35)*'Assumptions'!$D$33+P35*'Assumptions'!$D$34+R35*'Assumptions'!$D$35</x:f>
        <x:v>15534.686</x:v>
      </x:c>
      <x:c r="U35" s="76" t="n">
        <x:f>S35-T35</x:f>
        <x:v>28701.600666666665</x:v>
      </x:c>
    </x:row>
    <x:row r="36">
      <x:c r="A36" s="74" t="n">
        <x:v>47453</x:v>
      </x:c>
      <x:c r="B36" s="29" t="n">
        <x:v>3</x:v>
      </x:c>
      <x:c r="C36" s="29" t="n">
        <x:v>8</x:v>
      </x:c>
      <x:c r="D36" s="29" t="n">
        <x:v>32</x:v>
      </x:c>
      <x:c r="E36" s="75" t="n">
        <x:f>'Assumptions'!$B$8*POWER('Assumptions'!$B$15,INT((D36+11-'Assumptions'!$B$17)/12))+'Assumptions'!$B$9*POWER('Assumptions'!$B$15,INT((D36+11-'Assumptions'!$B$18)/12))</x:f>
        <x:v>9.072</x:v>
      </x:c>
      <x:c r="F36" s="76" t="n">
        <x:f>E36*'Assumptions'!$B$10/12</x:f>
        <x:v>143.64</x:v>
      </x:c>
      <x:c r="G36" s="75" t="n">
        <x:f>'Assumptions'!$B$20*'Assumptions'!$B$21^2+'Assumptions'!$C$20*'Assumptions'!$C$21+'Assumptions'!$D$20*C36/12</x:f>
        <x:v>519.3333333333333</x:v>
      </x:c>
      <x:c r="H36" s="76" t="n">
        <x:f>G36*'Assumptions'!$D$22</x:f>
        <x:v>10386.666666666664</x:v>
      </x:c>
      <x:c r="I36" s="75" t="n">
        <x:f>'Assumptions'!$B$11*POWER('Assumptions'!$B$16,INT((D36+11-'Assumptions'!$B$17)/12))+'Assumptions'!$B$12*POWER('Assumptions'!$B$16,INT((D36+11-'Assumptions'!$B$18)/12))</x:f>
        <x:v>1.4580000000000002</x:v>
      </x:c>
      <x:c r="J36" s="76" t="n">
        <x:f>I36*'Assumptions'!$B$13*'Assumptions'!$B$14/12</x:f>
        <x:v>87.48000000000002</x:v>
      </x:c>
      <x:c r="K36" s="75" t="n">
        <x:f>'Assumptions'!$B$23*'Assumptions'!$B$24^2+'Assumptions'!$C$23*'Assumptions'!$C$24+'Assumptions'!$D$23*C36/12</x:f>
        <x:v>83.2</x:v>
      </x:c>
      <x:c r="L36" s="76" t="n">
        <x:f>K36*'Assumptions'!$D$25*'Assumptions'!$D$26</x:f>
        <x:v>19968</x:v>
      </x:c>
      <x:c r="M36" s="75" t="n">
        <x:f>'Assumptions'!$B$27*'Assumptions'!$B$24^2+'Assumptions'!$C$27*'Assumptions'!$C$24+'Assumptions'!$D$27*C36/12</x:f>
        <x:v>2.9</x:v>
      </x:c>
      <x:c r="N36" s="76" t="n">
        <x:f>M36*'Assumptions'!$D$28/12</x:f>
        <x:v>5316.666666666667</x:v>
      </x:c>
      <x:c r="O36" s="75" t="n">
        <x:f>'Assumptions'!$B$29*'Assumptions'!$B$30^2+'Assumptions'!$C$29*'Assumptions'!$C$30+'Assumptions'!$D$29*C36/12</x:f>
        <x:v>124.8</x:v>
      </x:c>
      <x:c r="P36" s="76" t="n">
        <x:f>O36*'Assumptions'!$D$31</x:f>
        <x:v>7488</x:v>
      </x:c>
      <x:c r="Q36" s="75" t="n">
        <x:f>('Assumptions'!$D$23+'Assumptions'!$D$27)/12</x:f>
        <x:v>5.25</x:v>
      </x:c>
      <x:c r="R36" s="76" t="n">
        <x:f>Q36*'Assumptions'!$D$32</x:f>
        <x:v>3937.5</x:v>
      </x:c>
      <x:c r="S36" s="76" t="n">
        <x:f>SUM(F36,H36,J36,L36,N36,P36,R36)</x:f>
        <x:v>47327.95333333333</x:v>
      </x:c>
      <x:c r="T36" s="76" t="n">
        <x:f>(F36+H36+J36+L36+N36)*'Assumptions'!$D$33+P36*'Assumptions'!$D$34+R36*'Assumptions'!$D$35</x:f>
        <x:v>16522.186</x:v>
      </x:c>
      <x:c r="U36" s="76" t="n">
        <x:f>S36-T36</x:f>
        <x:v>30805.76733333333</x:v>
      </x:c>
    </x:row>
    <x:row r="37">
      <x:c r="A37" s="74" t="n">
        <x:v>47484</x:v>
      </x:c>
      <x:c r="B37" s="29" t="n">
        <x:v>3</x:v>
      </x:c>
      <x:c r="C37" s="29" t="n">
        <x:v>9</x:v>
      </x:c>
      <x:c r="D37" s="29" t="n">
        <x:v>33</x:v>
      </x:c>
      <x:c r="E37" s="75" t="n">
        <x:f>'Assumptions'!$B$8*POWER('Assumptions'!$B$15,INT((D37+11-'Assumptions'!$B$17)/12))+'Assumptions'!$B$9*POWER('Assumptions'!$B$15,INT((D37+11-'Assumptions'!$B$18)/12))</x:f>
        <x:v>9.072</x:v>
      </x:c>
      <x:c r="F37" s="76" t="n">
        <x:f>E37*'Assumptions'!$B$10/12</x:f>
        <x:v>143.64</x:v>
      </x:c>
      <x:c r="G37" s="75" t="n">
        <x:f>'Assumptions'!$B$20*'Assumptions'!$B$21^2+'Assumptions'!$C$20*'Assumptions'!$C$21+'Assumptions'!$D$20*C37/12</x:f>
        <x:v>561</x:v>
      </x:c>
      <x:c r="H37" s="76" t="n">
        <x:f>G37*'Assumptions'!$D$22</x:f>
        <x:v>11220</x:v>
      </x:c>
      <x:c r="I37" s="75" t="n">
        <x:f>'Assumptions'!$B$11*POWER('Assumptions'!$B$16,INT((D37+11-'Assumptions'!$B$17)/12))+'Assumptions'!$B$12*POWER('Assumptions'!$B$16,INT((D37+11-'Assumptions'!$B$18)/12))</x:f>
        <x:v>1.4580000000000002</x:v>
      </x:c>
      <x:c r="J37" s="76" t="n">
        <x:f>I37*'Assumptions'!$B$13*'Assumptions'!$B$14/12</x:f>
        <x:v>87.48000000000002</x:v>
      </x:c>
      <x:c r="K37" s="75" t="n">
        <x:f>'Assumptions'!$B$23*'Assumptions'!$B$24^2+'Assumptions'!$C$23*'Assumptions'!$C$24+'Assumptions'!$D$23*C37/12</x:f>
        <x:v>88.2</x:v>
      </x:c>
      <x:c r="L37" s="76" t="n">
        <x:f>K37*'Assumptions'!$D$25*'Assumptions'!$D$26</x:f>
        <x:v>21168</x:v>
      </x:c>
      <x:c r="M37" s="75" t="n">
        <x:f>'Assumptions'!$B$27*'Assumptions'!$B$24^2+'Assumptions'!$C$27*'Assumptions'!$C$24+'Assumptions'!$D$27*C37/12</x:f>
        <x:v>3.15</x:v>
      </x:c>
      <x:c r="N37" s="76" t="n">
        <x:f>M37*'Assumptions'!$D$28/12</x:f>
        <x:v>5775</x:v>
      </x:c>
      <x:c r="O37" s="75" t="n">
        <x:f>'Assumptions'!$B$29*'Assumptions'!$B$30^2+'Assumptions'!$C$29*'Assumptions'!$C$30+'Assumptions'!$D$29*C37/12</x:f>
        <x:v>134.8</x:v>
      </x:c>
      <x:c r="P37" s="76" t="n">
        <x:f>O37*'Assumptions'!$D$31</x:f>
        <x:v>8088.000000000001</x:v>
      </x:c>
      <x:c r="Q37" s="75" t="n">
        <x:f>('Assumptions'!$D$23+'Assumptions'!$D$27)/12</x:f>
        <x:v>5.25</x:v>
      </x:c>
      <x:c r="R37" s="76" t="n">
        <x:f>Q37*'Assumptions'!$D$32</x:f>
        <x:v>3937.5</x:v>
      </x:c>
      <x:c r="S37" s="76" t="n">
        <x:f>SUM(F37,H37,J37,L37,N37,P37,R37)</x:f>
        <x:v>50419.619999999995</x:v>
      </x:c>
      <x:c r="T37" s="76" t="n">
        <x:f>(F37+H37+J37+L37+N37)*'Assumptions'!$D$33+P37*'Assumptions'!$D$34+R37*'Assumptions'!$D$35</x:f>
        <x:v>17509.686</x:v>
      </x:c>
      <x:c r="U37" s="76" t="n">
        <x:f>S37-T37</x:f>
        <x:v>32909.933999999994</x:v>
      </x:c>
    </x:row>
    <x:row r="38">
      <x:c r="A38" s="74" t="n">
        <x:v>47515</x:v>
      </x:c>
      <x:c r="B38" s="29" t="n">
        <x:v>3</x:v>
      </x:c>
      <x:c r="C38" s="29" t="n">
        <x:v>10</x:v>
      </x:c>
      <x:c r="D38" s="29" t="n">
        <x:v>34</x:v>
      </x:c>
      <x:c r="E38" s="75" t="n">
        <x:f>'Assumptions'!$B$8*POWER('Assumptions'!$B$15,INT((D38+11-'Assumptions'!$B$17)/12))+'Assumptions'!$B$9*POWER('Assumptions'!$B$15,INT((D38+11-'Assumptions'!$B$18)/12))</x:f>
        <x:v>9.072</x:v>
      </x:c>
      <x:c r="F38" s="76" t="n">
        <x:f>E38*'Assumptions'!$B$10/12</x:f>
        <x:v>143.64</x:v>
      </x:c>
      <x:c r="G38" s="75" t="n">
        <x:f>'Assumptions'!$B$20*'Assumptions'!$B$21^2+'Assumptions'!$C$20*'Assumptions'!$C$21+'Assumptions'!$D$20*C38/12</x:f>
        <x:v>602.6666666666667</x:v>
      </x:c>
      <x:c r="H38" s="76" t="n">
        <x:f>G38*'Assumptions'!$D$22</x:f>
        <x:v>12053.333333333336</x:v>
      </x:c>
      <x:c r="I38" s="75" t="n">
        <x:f>'Assumptions'!$B$11*POWER('Assumptions'!$B$16,INT((D38+11-'Assumptions'!$B$17)/12))+'Assumptions'!$B$12*POWER('Assumptions'!$B$16,INT((D38+11-'Assumptions'!$B$18)/12))</x:f>
        <x:v>1.4580000000000002</x:v>
      </x:c>
      <x:c r="J38" s="76" t="n">
        <x:f>I38*'Assumptions'!$B$13*'Assumptions'!$B$14/12</x:f>
        <x:v>87.48000000000002</x:v>
      </x:c>
      <x:c r="K38" s="75" t="n">
        <x:f>'Assumptions'!$B$23*'Assumptions'!$B$24^2+'Assumptions'!$C$23*'Assumptions'!$C$24+'Assumptions'!$D$23*C38/12</x:f>
        <x:v>93.2</x:v>
      </x:c>
      <x:c r="L38" s="76" t="n">
        <x:f>K38*'Assumptions'!$D$25*'Assumptions'!$D$26</x:f>
        <x:v>22368</x:v>
      </x:c>
      <x:c r="M38" s="75" t="n">
        <x:f>'Assumptions'!$B$27*'Assumptions'!$B$24^2+'Assumptions'!$C$27*'Assumptions'!$C$24+'Assumptions'!$D$27*C38/12</x:f>
        <x:v>3.4</x:v>
      </x:c>
      <x:c r="N38" s="76" t="n">
        <x:f>M38*'Assumptions'!$D$28/12</x:f>
        <x:v>6233.333333333333</x:v>
      </x:c>
      <x:c r="O38" s="75" t="n">
        <x:f>'Assumptions'!$B$29*'Assumptions'!$B$30^2+'Assumptions'!$C$29*'Assumptions'!$C$30+'Assumptions'!$D$29*C38/12</x:f>
        <x:v>144.8</x:v>
      </x:c>
      <x:c r="P38" s="76" t="n">
        <x:f>O38*'Assumptions'!$D$31</x:f>
        <x:v>8688</x:v>
      </x:c>
      <x:c r="Q38" s="75" t="n">
        <x:f>('Assumptions'!$D$23+'Assumptions'!$D$27)/12</x:f>
        <x:v>5.25</x:v>
      </x:c>
      <x:c r="R38" s="76" t="n">
        <x:f>Q38*'Assumptions'!$D$32</x:f>
        <x:v>3937.5</x:v>
      </x:c>
      <x:c r="S38" s="76" t="n">
        <x:f>SUM(F38,H38,J38,L38,N38,P38,R38)</x:f>
        <x:v>53511.286666666674</x:v>
      </x:c>
      <x:c r="T38" s="76" t="n">
        <x:f>(F38+H38+J38+L38+N38)*'Assumptions'!$D$33+P38*'Assumptions'!$D$34+R38*'Assumptions'!$D$35</x:f>
        <x:v>18497.186</x:v>
      </x:c>
      <x:c r="U38" s="76" t="n">
        <x:f>S38-T38</x:f>
        <x:v>35014.10066666667</x:v>
      </x:c>
    </x:row>
    <x:row r="39">
      <x:c r="A39" s="74" t="n">
        <x:v>47543</x:v>
      </x:c>
      <x:c r="B39" s="29" t="n">
        <x:v>3</x:v>
      </x:c>
      <x:c r="C39" s="29" t="n">
        <x:v>11</x:v>
      </x:c>
      <x:c r="D39" s="29" t="n">
        <x:v>35</x:v>
      </x:c>
      <x:c r="E39" s="75" t="n">
        <x:f>'Assumptions'!$B$8*POWER('Assumptions'!$B$15,INT((D39+11-'Assumptions'!$B$17)/12))+'Assumptions'!$B$9*POWER('Assumptions'!$B$15,INT((D39+11-'Assumptions'!$B$18)/12))</x:f>
        <x:v>6.479999999999999</x:v>
      </x:c>
      <x:c r="F39" s="76" t="n">
        <x:f>E39*'Assumptions'!$B$10/12</x:f>
        <x:v>102.59999999999998</x:v>
      </x:c>
      <x:c r="G39" s="75" t="n">
        <x:f>'Assumptions'!$B$20*'Assumptions'!$B$21^2+'Assumptions'!$C$20*'Assumptions'!$C$21+'Assumptions'!$D$20*C39/12</x:f>
        <x:v>644.3333333333333</x:v>
      </x:c>
      <x:c r="H39" s="76" t="n">
        <x:f>G39*'Assumptions'!$D$22</x:f>
        <x:v>12886.666666666664</x:v>
      </x:c>
      <x:c r="I39" s="75" t="n">
        <x:f>'Assumptions'!$B$11*POWER('Assumptions'!$B$16,INT((D39+11-'Assumptions'!$B$17)/12))+'Assumptions'!$B$12*POWER('Assumptions'!$B$16,INT((D39+11-'Assumptions'!$B$18)/12))</x:f>
        <x:v>1.4580000000000002</x:v>
      </x:c>
      <x:c r="J39" s="76" t="n">
        <x:f>I39*'Assumptions'!$B$13*'Assumptions'!$B$14/12</x:f>
        <x:v>87.48000000000002</x:v>
      </x:c>
      <x:c r="K39" s="75" t="n">
        <x:f>'Assumptions'!$B$23*'Assumptions'!$B$24^2+'Assumptions'!$C$23*'Assumptions'!$C$24+'Assumptions'!$D$23*C39/12</x:f>
        <x:v>98.2</x:v>
      </x:c>
      <x:c r="L39" s="76" t="n">
        <x:f>K39*'Assumptions'!$D$25*'Assumptions'!$D$26</x:f>
        <x:v>23568</x:v>
      </x:c>
      <x:c r="M39" s="75" t="n">
        <x:f>'Assumptions'!$B$27*'Assumptions'!$B$24^2+'Assumptions'!$C$27*'Assumptions'!$C$24+'Assumptions'!$D$27*C39/12</x:f>
        <x:v>3.65</x:v>
      </x:c>
      <x:c r="N39" s="76" t="n">
        <x:f>M39*'Assumptions'!$D$28/12</x:f>
        <x:v>6691.666666666667</x:v>
      </x:c>
      <x:c r="O39" s="75" t="n">
        <x:f>'Assumptions'!$B$29*'Assumptions'!$B$30^2+'Assumptions'!$C$29*'Assumptions'!$C$30+'Assumptions'!$D$29*C39/12</x:f>
        <x:v>154.8</x:v>
      </x:c>
      <x:c r="P39" s="76" t="n">
        <x:f>O39*'Assumptions'!$D$31</x:f>
        <x:v>9288</x:v>
      </x:c>
      <x:c r="Q39" s="75" t="n">
        <x:f>('Assumptions'!$D$23+'Assumptions'!$D$27)/12</x:f>
        <x:v>5.25</x:v>
      </x:c>
      <x:c r="R39" s="76" t="n">
        <x:f>Q39*'Assumptions'!$D$32</x:f>
        <x:v>3937.5</x:v>
      </x:c>
      <x:c r="S39" s="76" t="n">
        <x:f>SUM(F39,H39,J39,L39,N39,P39,R39)</x:f>
        <x:v>56561.91333333333</x:v>
      </x:c>
      <x:c r="T39" s="76" t="n">
        <x:f>(F39+H39+J39+L39+N39)*'Assumptions'!$D$33+P39*'Assumptions'!$D$34+R39*'Assumptions'!$D$35</x:f>
        <x:v>19472.374</x:v>
      </x:c>
      <x:c r="U39" s="76" t="n">
        <x:f>S39-T39</x:f>
        <x:v>37089.539333333334</x:v>
      </x:c>
    </x:row>
    <x:row r="40">
      <x:c r="A40" s="74" t="n">
        <x:v>47574</x:v>
      </x:c>
      <x:c r="B40" s="29" t="n">
        <x:v>3</x:v>
      </x:c>
      <x:c r="C40" s="29" t="n">
        <x:v>12</x:v>
      </x:c>
      <x:c r="D40" s="29" t="n">
        <x:v>36</x:v>
      </x:c>
      <x:c r="E40" s="75" t="n">
        <x:f>'Assumptions'!$B$8*POWER('Assumptions'!$B$15,INT((D40+11-'Assumptions'!$B$17)/12))+'Assumptions'!$B$9*POWER('Assumptions'!$B$15,INT((D40+11-'Assumptions'!$B$18)/12))</x:f>
        <x:v>6.479999999999999</x:v>
      </x:c>
      <x:c r="F40" s="76" t="n">
        <x:f>E40*'Assumptions'!$B$10/12</x:f>
        <x:v>102.59999999999998</x:v>
      </x:c>
      <x:c r="G40" s="75" t="n">
        <x:f>'Assumptions'!$B$20*'Assumptions'!$B$21^2+'Assumptions'!$C$20*'Assumptions'!$C$21+'Assumptions'!$D$20*C40/12</x:f>
        <x:v>686</x:v>
      </x:c>
      <x:c r="H40" s="76" t="n">
        <x:f>G40*'Assumptions'!$D$22</x:f>
        <x:v>13720</x:v>
      </x:c>
      <x:c r="I40" s="75" t="n">
        <x:f>'Assumptions'!$B$11*POWER('Assumptions'!$B$16,INT((D40+11-'Assumptions'!$B$17)/12))+'Assumptions'!$B$12*POWER('Assumptions'!$B$16,INT((D40+11-'Assumptions'!$B$18)/12))</x:f>
        <x:v>1.4580000000000002</x:v>
      </x:c>
      <x:c r="J40" s="76" t="n">
        <x:f>I40*'Assumptions'!$B$13*'Assumptions'!$B$14/12</x:f>
        <x:v>87.48000000000002</x:v>
      </x:c>
      <x:c r="K40" s="75" t="n">
        <x:f>'Assumptions'!$B$23*'Assumptions'!$B$24^2+'Assumptions'!$C$23*'Assumptions'!$C$24+'Assumptions'!$D$23*C40/12</x:f>
        <x:v>103.2</x:v>
      </x:c>
      <x:c r="L40" s="76" t="n">
        <x:f>K40*'Assumptions'!$D$25*'Assumptions'!$D$26</x:f>
        <x:v>24768</x:v>
      </x:c>
      <x:c r="M40" s="75" t="n">
        <x:f>'Assumptions'!$B$27*'Assumptions'!$B$24^2+'Assumptions'!$C$27*'Assumptions'!$C$24+'Assumptions'!$D$27*C40/12</x:f>
        <x:v>3.9</x:v>
      </x:c>
      <x:c r="N40" s="76" t="n">
        <x:f>M40*'Assumptions'!$D$28/12</x:f>
        <x:v>7150</x:v>
      </x:c>
      <x:c r="O40" s="75" t="n">
        <x:f>'Assumptions'!$B$29*'Assumptions'!$B$30^2+'Assumptions'!$C$29*'Assumptions'!$C$30+'Assumptions'!$D$29*C40/12</x:f>
        <x:v>164.8</x:v>
      </x:c>
      <x:c r="P40" s="76" t="n">
        <x:f>O40*'Assumptions'!$D$31</x:f>
        <x:v>9888</x:v>
      </x:c>
      <x:c r="Q40" s="75" t="n">
        <x:f>('Assumptions'!$D$23+'Assumptions'!$D$27)/12</x:f>
        <x:v>5.25</x:v>
      </x:c>
      <x:c r="R40" s="76" t="n">
        <x:f>Q40*'Assumptions'!$D$32</x:f>
        <x:v>3937.5</x:v>
      </x:c>
      <x:c r="S40" s="76" t="n">
        <x:f>SUM(F40,H40,J40,L40,N40,P40,R40)</x:f>
        <x:v>59653.58</x:v>
      </x:c>
      <x:c r="T40" s="76" t="n">
        <x:f>(F40+H40+J40+L40+N40)*'Assumptions'!$D$33+P40*'Assumptions'!$D$34+R40*'Assumptions'!$D$35</x:f>
        <x:v>20459.874</x:v>
      </x:c>
      <x:c r="U40" s="76" t="n">
        <x:f>S40-T40</x:f>
        <x:v>39193.706000000006</x:v>
      </x:c>
    </x:row>
  </x:sheetData>
  <x:mergeCells>
    <x:mergeCell ref="A1:U1"/>
    <x:mergeCell ref="A2:U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1" hidden="0" customWidth="1"/>
    <x:col min="3" max="3" width="11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</x:cols>
  <x:sheetData>
    <x:row r="1" ht="28" customHeight="1">
      <x:c r="A1" s="19" t="str">
        <x:v>Calculation Schedule · MIMAR Engage</x:v>
      </x:c>
      <x:c r="B1" s="19" t="str">
        <x:v>MIMAR Engage — Monthly Commercial Cohort Build</x:v>
      </x:c>
      <x:c r="C1" s="19" t="str">
        <x:v>MIMAR Engage — Monthly Commercial Cohort Build</x:v>
      </x:c>
      <x:c r="D1" s="19" t="str">
        <x:v>MIMAR Engage — Monthly Commercial Cohort Build</x:v>
      </x:c>
      <x:c r="E1" s="19" t="str">
        <x:v>MIMAR Engage — Monthly Commercial Cohort Build</x:v>
      </x:c>
      <x:c r="F1" s="19" t="str">
        <x:v>MIMAR Engage — Monthly Commercial Cohort Build</x:v>
      </x:c>
      <x:c r="G1" s="19" t="str">
        <x:v>MIMAR Engage — Monthly Commercial Cohort Build</x:v>
      </x:c>
      <x:c r="H1" s="19" t="str">
        <x:v>MIMAR Engage — Monthly Commercial Cohort Build</x:v>
      </x:c>
      <x:c r="I1" s="19" t="str">
        <x:v>MIMAR Engage — Monthly Commercial Cohort Build</x:v>
      </x:c>
      <x:c r="J1" s="19" t="str">
        <x:v>MIMAR Engage — Monthly Commercial Cohort Build</x:v>
      </x:c>
      <x:c r="K1" s="19" t="str">
        <x:v>MIMAR Engage — Monthly Commercial Cohort Build</x:v>
      </x:c>
      <x:c r="L1" s="19" t="str">
        <x:v>MIMAR Engage — Monthly Commercial Cohort Build</x:v>
      </x:c>
      <x:c r="M1" s="19" t="str">
        <x:v>MIMAR Engage — Monthly Commercial Cohort Build</x:v>
      </x:c>
      <x:c r="N1" s="19" t="str">
        <x:v>MIMAR Engage — Monthly Commercial Cohort Build</x:v>
      </x:c>
      <x:c r="O1" s="19" t="str">
        <x:v>MIMAR Engage — Monthly Commercial Cohort Build</x:v>
      </x:c>
      <x:c r="P1" s="19" t="str">
        <x:v>MIMAR Engage — Monthly Commercial Cohort Build</x:v>
      </x:c>
      <x:c r="Q1" s="19" t="str">
        <x:v>MIMAR Engage — Monthly Commercial Cohort Build</x:v>
      </x:c>
      <x:c r="R1" s="19" t="str">
        <x:v>MIMAR Engage — Monthly Commercial Cohort Build</x:v>
      </x:c>
      <x:c r="S1" s="19" t="str">
        <x:v>MIMAR Engage — Monthly Commercial Cohort Build</x:v>
      </x:c>
      <x:c r="T1" s="19" t="str">
        <x:v>MIMAR Engage — Monthly Commercial Cohort Build</x:v>
      </x:c>
      <x:c r="U1" s="19" t="str">
        <x:v>MIMAR Engage — Monthly Commercial Cohort Build</x:v>
      </x:c>
    </x:row>
    <x:row r="2" ht="25" customHeight="1">
      <x:c r="A2" s="20" t="str">
        <x:v>Monthly cohort engine supporting the annual Engage forecast</x:v>
      </x:c>
      <x:c r="B2" s="20" t="str">
        <x:v>MIMAR Engage begins at commercial GA; retained workspaces and gross new cohorts are shown separately from onboarding.</x:v>
      </x:c>
      <x:c r="C2" s="20" t="str">
        <x:v>MIMAR Engage begins at commercial GA; retained workspaces and gross new cohorts are shown separately from onboarding.</x:v>
      </x:c>
      <x:c r="D2" s="20" t="str">
        <x:v>MIMAR Engage begins at commercial GA; retained workspaces and gross new cohorts are shown separately from onboarding.</x:v>
      </x:c>
      <x:c r="E2" s="20" t="str">
        <x:v>MIMAR Engage begins at commercial GA; retained workspaces and gross new cohorts are shown separately from onboarding.</x:v>
      </x:c>
      <x:c r="F2" s="20" t="str">
        <x:v>MIMAR Engage begins at commercial GA; retained workspaces and gross new cohorts are shown separately from onboarding.</x:v>
      </x:c>
      <x:c r="G2" s="20" t="str">
        <x:v>MIMAR Engage begins at commercial GA; retained workspaces and gross new cohorts are shown separately from onboarding.</x:v>
      </x:c>
      <x:c r="H2" s="20" t="str">
        <x:v>MIMAR Engage begins at commercial GA; retained workspaces and gross new cohorts are shown separately from onboarding.</x:v>
      </x:c>
      <x:c r="I2" s="20" t="str">
        <x:v>MIMAR Engage begins at commercial GA; retained workspaces and gross new cohorts are shown separately from onboarding.</x:v>
      </x:c>
      <x:c r="J2" s="20" t="str">
        <x:v>MIMAR Engage begins at commercial GA; retained workspaces and gross new cohorts are shown separately from onboarding.</x:v>
      </x:c>
      <x:c r="K2" s="20" t="str">
        <x:v>MIMAR Engage begins at commercial GA; retained workspaces and gross new cohorts are shown separately from onboarding.</x:v>
      </x:c>
      <x:c r="L2" s="20" t="str">
        <x:v>MIMAR Engage begins at commercial GA; retained workspaces and gross new cohorts are shown separately from onboarding.</x:v>
      </x:c>
      <x:c r="M2" s="20" t="str">
        <x:v>MIMAR Engage begins at commercial GA; retained workspaces and gross new cohorts are shown separately from onboarding.</x:v>
      </x:c>
      <x:c r="N2" s="20" t="str">
        <x:v>MIMAR Engage begins at commercial GA; retained workspaces and gross new cohorts are shown separately from onboarding.</x:v>
      </x:c>
      <x:c r="O2" s="20" t="str">
        <x:v>MIMAR Engage begins at commercial GA; retained workspaces and gross new cohorts are shown separately from onboarding.</x:v>
      </x:c>
      <x:c r="P2" s="20" t="str">
        <x:v>MIMAR Engage begins at commercial GA; retained workspaces and gross new cohorts are shown separately from onboarding.</x:v>
      </x:c>
      <x:c r="Q2" s="20" t="str">
        <x:v>MIMAR Engage begins at commercial GA; retained workspaces and gross new cohorts are shown separately from onboarding.</x:v>
      </x:c>
      <x:c r="R2" s="20" t="str">
        <x:v>MIMAR Engage begins at commercial GA; retained workspaces and gross new cohorts are shown separately from onboarding.</x:v>
      </x:c>
      <x:c r="S2" s="20" t="str">
        <x:v>MIMAR Engage begins at commercial GA; retained workspaces and gross new cohorts are shown separately from onboarding.</x:v>
      </x:c>
      <x:c r="T2" s="20" t="str">
        <x:v>MIMAR Engage begins at commercial GA; retained workspaces and gross new cohorts are shown separately from onboarding.</x:v>
      </x:c>
      <x:c r="U2" s="20" t="str">
        <x:v>MIMAR Engage begins at commercial GA; retained workspaces and gross new cohorts are shown separately from onboarding.</x:v>
      </x:c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  <x:c r="M3" s="29"/>
      <x:c r="N3" s="29"/>
      <x:c r="O3" s="29"/>
      <x:c r="P3" s="29"/>
      <x:c r="Q3" s="29"/>
      <x:c r="R3" s="29"/>
      <x:c r="S3" s="29"/>
      <x:c r="T3" s="29"/>
      <x:c r="U3" s="29"/>
    </x:row>
    <x:row r="4" ht="27" customHeight="1">
      <x:c r="A4" s="22" t="str">
        <x:v>Month</x:v>
      </x:c>
      <x:c r="B4" s="22" t="str">
        <x:v>Year</x:v>
      </x:c>
      <x:c r="C4" s="22" t="str">
        <x:v>Month in year</x:v>
      </x:c>
      <x:c r="D4" s="22" t="str">
        <x:v>Starter accts</x:v>
      </x:c>
      <x:c r="E4" s="22" t="str">
        <x:v>Starter rev.</x:v>
      </x:c>
      <x:c r="F4" s="22" t="str">
        <x:v>Growth accts</x:v>
      </x:c>
      <x:c r="G4" s="22" t="str">
        <x:v>Growth rev.</x:v>
      </x:c>
      <x:c r="H4" s="22" t="str">
        <x:v>Scale accts</x:v>
      </x:c>
      <x:c r="I4" s="22" t="str">
        <x:v>Scale rev.</x:v>
      </x:c>
      <x:c r="J4" s="22" t="str">
        <x:v>Enterprise accts</x:v>
      </x:c>
      <x:c r="K4" s="22" t="str">
        <x:v>Enterprise rev.</x:v>
      </x:c>
      <x:c r="L4" s="22" t="str">
        <x:v>Usage %</x:v>
      </x:c>
      <x:c r="M4" s="22" t="str">
        <x:v>Usage / add-ons</x:v>
      </x:c>
      <x:c r="N4" s="22" t="str">
        <x:v>New standard</x:v>
      </x:c>
      <x:c r="O4" s="22" t="str">
        <x:v>Std onboarding fee</x:v>
      </x:c>
      <x:c r="P4" s="22" t="str">
        <x:v>New enterprise</x:v>
      </x:c>
      <x:c r="Q4" s="22" t="str">
        <x:v>Ent onboarding fee</x:v>
      </x:c>
      <x:c r="R4" s="22" t="str">
        <x:v>Onboarding rev.</x:v>
      </x:c>
      <x:c r="S4" s="22" t="str">
        <x:v>ENGAGE REVENUE</x:v>
      </x:c>
      <x:c r="T4" s="22" t="str">
        <x:v>COGS</x:v>
      </x:c>
      <x:c r="U4" s="22" t="str">
        <x:v>GROSS PROFIT</x:v>
      </x:c>
    </x:row>
    <x:row r="5">
      <x:c r="A5" s="74" t="n">
        <x:v>46508</x:v>
      </x:c>
      <x:c r="B5" s="29" t="n">
        <x:v>1</x:v>
      </x:c>
      <x:c r="C5" s="29" t="n">
        <x:v>1</x:v>
      </x:c>
      <x:c r="D5" s="75" t="n">
        <x:f>'Assumptions'!$B$37*C5/12</x:f>
        <x:v>1.25</x:v>
      </x:c>
      <x:c r="E5" s="76" t="n">
        <x:f>D5*'Assumptions'!$B$38</x:f>
        <x:v>123.75</x:v>
      </x:c>
      <x:c r="F5" s="75" t="n">
        <x:f>'Assumptions'!$B$39*C5/12</x:f>
        <x:v>1</x:v>
      </x:c>
      <x:c r="G5" s="76" t="n">
        <x:f>F5*'Assumptions'!$B$40</x:f>
        <x:v>249</x:v>
      </x:c>
      <x:c r="H5" s="75" t="n">
        <x:f>'Assumptions'!$B$41*C5/12</x:f>
        <x:v>0.25</x:v>
      </x:c>
      <x:c r="I5" s="76" t="n">
        <x:f>H5*'Assumptions'!$B$42</x:f>
        <x:v>149.75</x:v>
      </x:c>
      <x:c r="J5" s="75" t="n">
        <x:f>'Assumptions'!$B$43*C5/12</x:f>
        <x:v>0</x:v>
      </x:c>
      <x:c r="K5" s="76" t="n">
        <x:f>J5*'Assumptions'!$B$44</x:f>
        <x:v>0</x:v>
      </x:c>
      <x:c r="L5" s="67" t="n">
        <x:f>'Assumptions'!$B$46</x:f>
        <x:v>0</x:v>
      </x:c>
      <x:c r="M5" s="76" t="n">
        <x:f>SUM(E5,G5,I5,K5)*L5</x:f>
        <x:v>0</x:v>
      </x:c>
      <x:c r="N5" s="75" t="n">
        <x:f>('Assumptions'!$B$37+'Assumptions'!$B$39+'Assumptions'!$B$41)/12</x:f>
        <x:v>2.5</x:v>
      </x:c>
      <x:c r="O5" s="76" t="n">
        <x:f>'Assumptions'!$B$47</x:f>
        <x:v>600</x:v>
      </x:c>
      <x:c r="P5" s="75" t="n">
        <x:f>'Assumptions'!$B$43/12</x:f>
        <x:v>0</x:v>
      </x:c>
      <x:c r="Q5" s="76" t="n">
        <x:f>'Assumptions'!$B$48</x:f>
        <x:v>3000</x:v>
      </x:c>
      <x:c r="R5" s="76" t="n">
        <x:f>N5*O5+P5*Q5</x:f>
        <x:v>1500</x:v>
      </x:c>
      <x:c r="S5" s="76" t="n">
        <x:f>SUM(E5,G5,I5,K5,M5,R5)</x:f>
        <x:v>2022.5</x:v>
      </x:c>
      <x:c r="T5" s="76" t="n">
        <x:f>SUM(E5,G5,I5,K5)*'Assumptions'!$B$49+M5*'Assumptions'!$B$50+R5*'Assumptions'!$B$51</x:f>
        <x:v>1232.875</x:v>
      </x:c>
      <x:c r="U5" s="76" t="n">
        <x:f>S5-T5</x:f>
        <x:v>789.625</x:v>
      </x:c>
    </x:row>
    <x:row r="6">
      <x:c r="A6" s="74" t="n">
        <x:v>46539</x:v>
      </x:c>
      <x:c r="B6" s="29" t="n">
        <x:v>1</x:v>
      </x:c>
      <x:c r="C6" s="29" t="n">
        <x:v>2</x:v>
      </x:c>
      <x:c r="D6" s="75" t="n">
        <x:f>'Assumptions'!$B$37*C6/12</x:f>
        <x:v>2.5</x:v>
      </x:c>
      <x:c r="E6" s="76" t="n">
        <x:f>D6*'Assumptions'!$B$38</x:f>
        <x:v>247.5</x:v>
      </x:c>
      <x:c r="F6" s="75" t="n">
        <x:f>'Assumptions'!$B$39*C6/12</x:f>
        <x:v>2</x:v>
      </x:c>
      <x:c r="G6" s="76" t="n">
        <x:f>F6*'Assumptions'!$B$40</x:f>
        <x:v>498</x:v>
      </x:c>
      <x:c r="H6" s="75" t="n">
        <x:f>'Assumptions'!$B$41*C6/12</x:f>
        <x:v>0.5</x:v>
      </x:c>
      <x:c r="I6" s="76" t="n">
        <x:f>H6*'Assumptions'!$B$42</x:f>
        <x:v>299.5</x:v>
      </x:c>
      <x:c r="J6" s="75" t="n">
        <x:f>'Assumptions'!$B$43*C6/12</x:f>
        <x:v>0</x:v>
      </x:c>
      <x:c r="K6" s="76" t="n">
        <x:f>J6*'Assumptions'!$B$44</x:f>
        <x:v>0</x:v>
      </x:c>
      <x:c r="L6" s="67" t="n">
        <x:f>'Assumptions'!$B$46</x:f>
        <x:v>0</x:v>
      </x:c>
      <x:c r="M6" s="76" t="n">
        <x:f>SUM(E6,G6,I6,K6)*L6</x:f>
        <x:v>0</x:v>
      </x:c>
      <x:c r="N6" s="75" t="n">
        <x:f>('Assumptions'!$B$37+'Assumptions'!$B$39+'Assumptions'!$B$41)/12</x:f>
        <x:v>2.5</x:v>
      </x:c>
      <x:c r="O6" s="76" t="n">
        <x:f>'Assumptions'!$B$47</x:f>
        <x:v>600</x:v>
      </x:c>
      <x:c r="P6" s="75" t="n">
        <x:f>'Assumptions'!$B$43/12</x:f>
        <x:v>0</x:v>
      </x:c>
      <x:c r="Q6" s="76" t="n">
        <x:f>'Assumptions'!$B$48</x:f>
        <x:v>3000</x:v>
      </x:c>
      <x:c r="R6" s="76" t="n">
        <x:f>N6*O6+P6*Q6</x:f>
        <x:v>1500</x:v>
      </x:c>
      <x:c r="S6" s="76" t="n">
        <x:f>SUM(E6,G6,I6,K6,M6,R6)</x:f>
        <x:v>2545</x:v>
      </x:c>
      <x:c r="T6" s="76" t="n">
        <x:f>SUM(E6,G6,I6,K6)*'Assumptions'!$B$49+M6*'Assumptions'!$B$50+R6*'Assumptions'!$B$51</x:f>
        <x:v>1415.75</x:v>
      </x:c>
      <x:c r="U6" s="76" t="n">
        <x:f>S6-T6</x:f>
        <x:v>1129.25</x:v>
      </x:c>
    </x:row>
    <x:row r="7">
      <x:c r="A7" s="74" t="n">
        <x:v>46569</x:v>
      </x:c>
      <x:c r="B7" s="29" t="n">
        <x:v>1</x:v>
      </x:c>
      <x:c r="C7" s="29" t="n">
        <x:v>3</x:v>
      </x:c>
      <x:c r="D7" s="75" t="n">
        <x:f>'Assumptions'!$B$37*C7/12</x:f>
        <x:v>3.75</x:v>
      </x:c>
      <x:c r="E7" s="76" t="n">
        <x:f>D7*'Assumptions'!$B$38</x:f>
        <x:v>371.25</x:v>
      </x:c>
      <x:c r="F7" s="75" t="n">
        <x:f>'Assumptions'!$B$39*C7/12</x:f>
        <x:v>3</x:v>
      </x:c>
      <x:c r="G7" s="76" t="n">
        <x:f>F7*'Assumptions'!$B$40</x:f>
        <x:v>747</x:v>
      </x:c>
      <x:c r="H7" s="75" t="n">
        <x:f>'Assumptions'!$B$41*C7/12</x:f>
        <x:v>0.75</x:v>
      </x:c>
      <x:c r="I7" s="76" t="n">
        <x:f>H7*'Assumptions'!$B$42</x:f>
        <x:v>449.25</x:v>
      </x:c>
      <x:c r="J7" s="75" t="n">
        <x:f>'Assumptions'!$B$43*C7/12</x:f>
        <x:v>0</x:v>
      </x:c>
      <x:c r="K7" s="76" t="n">
        <x:f>J7*'Assumptions'!$B$44</x:f>
        <x:v>0</x:v>
      </x:c>
      <x:c r="L7" s="67" t="n">
        <x:f>'Assumptions'!$B$46</x:f>
        <x:v>0</x:v>
      </x:c>
      <x:c r="M7" s="76" t="n">
        <x:f>SUM(E7,G7,I7,K7)*L7</x:f>
        <x:v>0</x:v>
      </x:c>
      <x:c r="N7" s="75" t="n">
        <x:f>('Assumptions'!$B$37+'Assumptions'!$B$39+'Assumptions'!$B$41)/12</x:f>
        <x:v>2.5</x:v>
      </x:c>
      <x:c r="O7" s="76" t="n">
        <x:f>'Assumptions'!$B$47</x:f>
        <x:v>600</x:v>
      </x:c>
      <x:c r="P7" s="75" t="n">
        <x:f>'Assumptions'!$B$43/12</x:f>
        <x:v>0</x:v>
      </x:c>
      <x:c r="Q7" s="76" t="n">
        <x:f>'Assumptions'!$B$48</x:f>
        <x:v>3000</x:v>
      </x:c>
      <x:c r="R7" s="76" t="n">
        <x:f>N7*O7+P7*Q7</x:f>
        <x:v>1500</x:v>
      </x:c>
      <x:c r="S7" s="76" t="n">
        <x:f>SUM(E7,G7,I7,K7,M7,R7)</x:f>
        <x:v>3067.5</x:v>
      </x:c>
      <x:c r="T7" s="76" t="n">
        <x:f>SUM(E7,G7,I7,K7)*'Assumptions'!$B$49+M7*'Assumptions'!$B$50+R7*'Assumptions'!$B$51</x:f>
        <x:v>1598.625</x:v>
      </x:c>
      <x:c r="U7" s="76" t="n">
        <x:f>S7-T7</x:f>
        <x:v>1468.875</x:v>
      </x:c>
    </x:row>
    <x:row r="8">
      <x:c r="A8" s="74" t="n">
        <x:v>46600</x:v>
      </x:c>
      <x:c r="B8" s="29" t="n">
        <x:v>1</x:v>
      </x:c>
      <x:c r="C8" s="29" t="n">
        <x:v>4</x:v>
      </x:c>
      <x:c r="D8" s="75" t="n">
        <x:f>'Assumptions'!$B$37*C8/12</x:f>
        <x:v>5</x:v>
      </x:c>
      <x:c r="E8" s="76" t="n">
        <x:f>D8*'Assumptions'!$B$38</x:f>
        <x:v>495</x:v>
      </x:c>
      <x:c r="F8" s="75" t="n">
        <x:f>'Assumptions'!$B$39*C8/12</x:f>
        <x:v>4</x:v>
      </x:c>
      <x:c r="G8" s="76" t="n">
        <x:f>F8*'Assumptions'!$B$40</x:f>
        <x:v>996</x:v>
      </x:c>
      <x:c r="H8" s="75" t="n">
        <x:f>'Assumptions'!$B$41*C8/12</x:f>
        <x:v>1</x:v>
      </x:c>
      <x:c r="I8" s="76" t="n">
        <x:f>H8*'Assumptions'!$B$42</x:f>
        <x:v>599</x:v>
      </x:c>
      <x:c r="J8" s="75" t="n">
        <x:f>'Assumptions'!$B$43*C8/12</x:f>
        <x:v>0</x:v>
      </x:c>
      <x:c r="K8" s="76" t="n">
        <x:f>J8*'Assumptions'!$B$44</x:f>
        <x:v>0</x:v>
      </x:c>
      <x:c r="L8" s="67" t="n">
        <x:f>'Assumptions'!$B$46</x:f>
        <x:v>0</x:v>
      </x:c>
      <x:c r="M8" s="76" t="n">
        <x:f>SUM(E8,G8,I8,K8)*L8</x:f>
        <x:v>0</x:v>
      </x:c>
      <x:c r="N8" s="75" t="n">
        <x:f>('Assumptions'!$B$37+'Assumptions'!$B$39+'Assumptions'!$B$41)/12</x:f>
        <x:v>2.5</x:v>
      </x:c>
      <x:c r="O8" s="76" t="n">
        <x:f>'Assumptions'!$B$47</x:f>
        <x:v>600</x:v>
      </x:c>
      <x:c r="P8" s="75" t="n">
        <x:f>'Assumptions'!$B$43/12</x:f>
        <x:v>0</x:v>
      </x:c>
      <x:c r="Q8" s="76" t="n">
        <x:f>'Assumptions'!$B$48</x:f>
        <x:v>3000</x:v>
      </x:c>
      <x:c r="R8" s="76" t="n">
        <x:f>N8*O8+P8*Q8</x:f>
        <x:v>1500</x:v>
      </x:c>
      <x:c r="S8" s="76" t="n">
        <x:f>SUM(E8,G8,I8,K8,M8,R8)</x:f>
        <x:v>3590</x:v>
      </x:c>
      <x:c r="T8" s="76" t="n">
        <x:f>SUM(E8,G8,I8,K8)*'Assumptions'!$B$49+M8*'Assumptions'!$B$50+R8*'Assumptions'!$B$51</x:f>
        <x:v>1781.5</x:v>
      </x:c>
      <x:c r="U8" s="76" t="n">
        <x:f>S8-T8</x:f>
        <x:v>1808.5</x:v>
      </x:c>
    </x:row>
    <x:row r="9">
      <x:c r="A9" s="74" t="n">
        <x:v>46631</x:v>
      </x:c>
      <x:c r="B9" s="29" t="n">
        <x:v>1</x:v>
      </x:c>
      <x:c r="C9" s="29" t="n">
        <x:v>5</x:v>
      </x:c>
      <x:c r="D9" s="75" t="n">
        <x:f>'Assumptions'!$B$37*C9/12</x:f>
        <x:v>6.25</x:v>
      </x:c>
      <x:c r="E9" s="76" t="n">
        <x:f>D9*'Assumptions'!$B$38</x:f>
        <x:v>618.75</x:v>
      </x:c>
      <x:c r="F9" s="75" t="n">
        <x:f>'Assumptions'!$B$39*C9/12</x:f>
        <x:v>5</x:v>
      </x:c>
      <x:c r="G9" s="76" t="n">
        <x:f>F9*'Assumptions'!$B$40</x:f>
        <x:v>1245</x:v>
      </x:c>
      <x:c r="H9" s="75" t="n">
        <x:f>'Assumptions'!$B$41*C9/12</x:f>
        <x:v>1.25</x:v>
      </x:c>
      <x:c r="I9" s="76" t="n">
        <x:f>H9*'Assumptions'!$B$42</x:f>
        <x:v>748.75</x:v>
      </x:c>
      <x:c r="J9" s="75" t="n">
        <x:f>'Assumptions'!$B$43*C9/12</x:f>
        <x:v>0</x:v>
      </x:c>
      <x:c r="K9" s="76" t="n">
        <x:f>J9*'Assumptions'!$B$44</x:f>
        <x:v>0</x:v>
      </x:c>
      <x:c r="L9" s="67" t="n">
        <x:f>'Assumptions'!$B$46</x:f>
        <x:v>0</x:v>
      </x:c>
      <x:c r="M9" s="76" t="n">
        <x:f>SUM(E9,G9,I9,K9)*L9</x:f>
        <x:v>0</x:v>
      </x:c>
      <x:c r="N9" s="75" t="n">
        <x:f>('Assumptions'!$B$37+'Assumptions'!$B$39+'Assumptions'!$B$41)/12</x:f>
        <x:v>2.5</x:v>
      </x:c>
      <x:c r="O9" s="76" t="n">
        <x:f>'Assumptions'!$B$47</x:f>
        <x:v>600</x:v>
      </x:c>
      <x:c r="P9" s="75" t="n">
        <x:f>'Assumptions'!$B$43/12</x:f>
        <x:v>0</x:v>
      </x:c>
      <x:c r="Q9" s="76" t="n">
        <x:f>'Assumptions'!$B$48</x:f>
        <x:v>3000</x:v>
      </x:c>
      <x:c r="R9" s="76" t="n">
        <x:f>N9*O9+P9*Q9</x:f>
        <x:v>1500</x:v>
      </x:c>
      <x:c r="S9" s="76" t="n">
        <x:f>SUM(E9,G9,I9,K9,M9,R9)</x:f>
        <x:v>4112.5</x:v>
      </x:c>
      <x:c r="T9" s="76" t="n">
        <x:f>SUM(E9,G9,I9,K9)*'Assumptions'!$B$49+M9*'Assumptions'!$B$50+R9*'Assumptions'!$B$51</x:f>
        <x:v>1964.375</x:v>
      </x:c>
      <x:c r="U9" s="76" t="n">
        <x:f>S9-T9</x:f>
        <x:v>2148.125</x:v>
      </x:c>
    </x:row>
    <x:row r="10">
      <x:c r="A10" s="74" t="n">
        <x:v>46661</x:v>
      </x:c>
      <x:c r="B10" s="29" t="n">
        <x:v>1</x:v>
      </x:c>
      <x:c r="C10" s="29" t="n">
        <x:v>6</x:v>
      </x:c>
      <x:c r="D10" s="75" t="n">
        <x:f>'Assumptions'!$B$37*C10/12</x:f>
        <x:v>7.5</x:v>
      </x:c>
      <x:c r="E10" s="76" t="n">
        <x:f>D10*'Assumptions'!$B$38</x:f>
        <x:v>742.5</x:v>
      </x:c>
      <x:c r="F10" s="75" t="n">
        <x:f>'Assumptions'!$B$39*C10/12</x:f>
        <x:v>6</x:v>
      </x:c>
      <x:c r="G10" s="76" t="n">
        <x:f>F10*'Assumptions'!$B$40</x:f>
        <x:v>1494</x:v>
      </x:c>
      <x:c r="H10" s="75" t="n">
        <x:f>'Assumptions'!$B$41*C10/12</x:f>
        <x:v>1.5</x:v>
      </x:c>
      <x:c r="I10" s="76" t="n">
        <x:f>H10*'Assumptions'!$B$42</x:f>
        <x:v>898.5</x:v>
      </x:c>
      <x:c r="J10" s="75" t="n">
        <x:f>'Assumptions'!$B$43*C10/12</x:f>
        <x:v>0</x:v>
      </x:c>
      <x:c r="K10" s="76" t="n">
        <x:f>J10*'Assumptions'!$B$44</x:f>
        <x:v>0</x:v>
      </x:c>
      <x:c r="L10" s="67" t="n">
        <x:f>'Assumptions'!$B$46</x:f>
        <x:v>0</x:v>
      </x:c>
      <x:c r="M10" s="76" t="n">
        <x:f>SUM(E10,G10,I10,K10)*L10</x:f>
        <x:v>0</x:v>
      </x:c>
      <x:c r="N10" s="75" t="n">
        <x:f>('Assumptions'!$B$37+'Assumptions'!$B$39+'Assumptions'!$B$41)/12</x:f>
        <x:v>2.5</x:v>
      </x:c>
      <x:c r="O10" s="76" t="n">
        <x:f>'Assumptions'!$B$47</x:f>
        <x:v>600</x:v>
      </x:c>
      <x:c r="P10" s="75" t="n">
        <x:f>'Assumptions'!$B$43/12</x:f>
        <x:v>0</x:v>
      </x:c>
      <x:c r="Q10" s="76" t="n">
        <x:f>'Assumptions'!$B$48</x:f>
        <x:v>3000</x:v>
      </x:c>
      <x:c r="R10" s="76" t="n">
        <x:f>N10*O10+P10*Q10</x:f>
        <x:v>1500</x:v>
      </x:c>
      <x:c r="S10" s="76" t="n">
        <x:f>SUM(E10,G10,I10,K10,M10,R10)</x:f>
        <x:v>4635</x:v>
      </x:c>
      <x:c r="T10" s="76" t="n">
        <x:f>SUM(E10,G10,I10,K10)*'Assumptions'!$B$49+M10*'Assumptions'!$B$50+R10*'Assumptions'!$B$51</x:f>
        <x:v>2147.25</x:v>
      </x:c>
      <x:c r="U10" s="76" t="n">
        <x:f>S10-T10</x:f>
        <x:v>2487.75</x:v>
      </x:c>
    </x:row>
    <x:row r="11">
      <x:c r="A11" s="74" t="n">
        <x:v>46692</x:v>
      </x:c>
      <x:c r="B11" s="29" t="n">
        <x:v>1</x:v>
      </x:c>
      <x:c r="C11" s="29" t="n">
        <x:v>7</x:v>
      </x:c>
      <x:c r="D11" s="75" t="n">
        <x:f>'Assumptions'!$B$37*C11/12</x:f>
        <x:v>8.75</x:v>
      </x:c>
      <x:c r="E11" s="76" t="n">
        <x:f>D11*'Assumptions'!$B$38</x:f>
        <x:v>866.25</x:v>
      </x:c>
      <x:c r="F11" s="75" t="n">
        <x:f>'Assumptions'!$B$39*C11/12</x:f>
        <x:v>7</x:v>
      </x:c>
      <x:c r="G11" s="76" t="n">
        <x:f>F11*'Assumptions'!$B$40</x:f>
        <x:v>1743</x:v>
      </x:c>
      <x:c r="H11" s="75" t="n">
        <x:f>'Assumptions'!$B$41*C11/12</x:f>
        <x:v>1.75</x:v>
      </x:c>
      <x:c r="I11" s="76" t="n">
        <x:f>H11*'Assumptions'!$B$42</x:f>
        <x:v>1048.25</x:v>
      </x:c>
      <x:c r="J11" s="75" t="n">
        <x:f>'Assumptions'!$B$43*C11/12</x:f>
        <x:v>0</x:v>
      </x:c>
      <x:c r="K11" s="76" t="n">
        <x:f>J11*'Assumptions'!$B$44</x:f>
        <x:v>0</x:v>
      </x:c>
      <x:c r="L11" s="67" t="n">
        <x:f>'Assumptions'!$B$46</x:f>
        <x:v>0</x:v>
      </x:c>
      <x:c r="M11" s="76" t="n">
        <x:f>SUM(E11,G11,I11,K11)*L11</x:f>
        <x:v>0</x:v>
      </x:c>
      <x:c r="N11" s="75" t="n">
        <x:f>('Assumptions'!$B$37+'Assumptions'!$B$39+'Assumptions'!$B$41)/12</x:f>
        <x:v>2.5</x:v>
      </x:c>
      <x:c r="O11" s="76" t="n">
        <x:f>'Assumptions'!$B$47</x:f>
        <x:v>600</x:v>
      </x:c>
      <x:c r="P11" s="75" t="n">
        <x:f>'Assumptions'!$B$43/12</x:f>
        <x:v>0</x:v>
      </x:c>
      <x:c r="Q11" s="76" t="n">
        <x:f>'Assumptions'!$B$48</x:f>
        <x:v>3000</x:v>
      </x:c>
      <x:c r="R11" s="76" t="n">
        <x:f>N11*O11+P11*Q11</x:f>
        <x:v>1500</x:v>
      </x:c>
      <x:c r="S11" s="76" t="n">
        <x:f>SUM(E11,G11,I11,K11,M11,R11)</x:f>
        <x:v>5157.5</x:v>
      </x:c>
      <x:c r="T11" s="76" t="n">
        <x:f>SUM(E11,G11,I11,K11)*'Assumptions'!$B$49+M11*'Assumptions'!$B$50+R11*'Assumptions'!$B$51</x:f>
        <x:v>2330.125</x:v>
      </x:c>
      <x:c r="U11" s="76" t="n">
        <x:f>S11-T11</x:f>
        <x:v>2827.375</x:v>
      </x:c>
    </x:row>
    <x:row r="12">
      <x:c r="A12" s="74" t="n">
        <x:v>46722</x:v>
      </x:c>
      <x:c r="B12" s="29" t="n">
        <x:v>1</x:v>
      </x:c>
      <x:c r="C12" s="29" t="n">
        <x:v>8</x:v>
      </x:c>
      <x:c r="D12" s="75" t="n">
        <x:f>'Assumptions'!$B$37*C12/12</x:f>
        <x:v>10</x:v>
      </x:c>
      <x:c r="E12" s="76" t="n">
        <x:f>D12*'Assumptions'!$B$38</x:f>
        <x:v>990</x:v>
      </x:c>
      <x:c r="F12" s="75" t="n">
        <x:f>'Assumptions'!$B$39*C12/12</x:f>
        <x:v>8</x:v>
      </x:c>
      <x:c r="G12" s="76" t="n">
        <x:f>F12*'Assumptions'!$B$40</x:f>
        <x:v>1992</x:v>
      </x:c>
      <x:c r="H12" s="75" t="n">
        <x:f>'Assumptions'!$B$41*C12/12</x:f>
        <x:v>2</x:v>
      </x:c>
      <x:c r="I12" s="76" t="n">
        <x:f>H12*'Assumptions'!$B$42</x:f>
        <x:v>1198</x:v>
      </x:c>
      <x:c r="J12" s="75" t="n">
        <x:f>'Assumptions'!$B$43*C12/12</x:f>
        <x:v>0</x:v>
      </x:c>
      <x:c r="K12" s="76" t="n">
        <x:f>J12*'Assumptions'!$B$44</x:f>
        <x:v>0</x:v>
      </x:c>
      <x:c r="L12" s="67" t="n">
        <x:f>'Assumptions'!$B$46</x:f>
        <x:v>0</x:v>
      </x:c>
      <x:c r="M12" s="76" t="n">
        <x:f>SUM(E12,G12,I12,K12)*L12</x:f>
        <x:v>0</x:v>
      </x:c>
      <x:c r="N12" s="75" t="n">
        <x:f>('Assumptions'!$B$37+'Assumptions'!$B$39+'Assumptions'!$B$41)/12</x:f>
        <x:v>2.5</x:v>
      </x:c>
      <x:c r="O12" s="76" t="n">
        <x:f>'Assumptions'!$B$47</x:f>
        <x:v>600</x:v>
      </x:c>
      <x:c r="P12" s="75" t="n">
        <x:f>'Assumptions'!$B$43/12</x:f>
        <x:v>0</x:v>
      </x:c>
      <x:c r="Q12" s="76" t="n">
        <x:f>'Assumptions'!$B$48</x:f>
        <x:v>3000</x:v>
      </x:c>
      <x:c r="R12" s="76" t="n">
        <x:f>N12*O12+P12*Q12</x:f>
        <x:v>1500</x:v>
      </x:c>
      <x:c r="S12" s="76" t="n">
        <x:f>SUM(E12,G12,I12,K12,M12,R12)</x:f>
        <x:v>5680</x:v>
      </x:c>
      <x:c r="T12" s="76" t="n">
        <x:f>SUM(E12,G12,I12,K12)*'Assumptions'!$B$49+M12*'Assumptions'!$B$50+R12*'Assumptions'!$B$51</x:f>
        <x:v>2513</x:v>
      </x:c>
      <x:c r="U12" s="76" t="n">
        <x:f>S12-T12</x:f>
        <x:v>3167</x:v>
      </x:c>
    </x:row>
    <x:row r="13">
      <x:c r="A13" s="74" t="n">
        <x:v>46753</x:v>
      </x:c>
      <x:c r="B13" s="29" t="n">
        <x:v>1</x:v>
      </x:c>
      <x:c r="C13" s="29" t="n">
        <x:v>9</x:v>
      </x:c>
      <x:c r="D13" s="75" t="n">
        <x:f>'Assumptions'!$B$37*C13/12</x:f>
        <x:v>11.25</x:v>
      </x:c>
      <x:c r="E13" s="76" t="n">
        <x:f>D13*'Assumptions'!$B$38</x:f>
        <x:v>1113.75</x:v>
      </x:c>
      <x:c r="F13" s="75" t="n">
        <x:f>'Assumptions'!$B$39*C13/12</x:f>
        <x:v>9</x:v>
      </x:c>
      <x:c r="G13" s="76" t="n">
        <x:f>F13*'Assumptions'!$B$40</x:f>
        <x:v>2241</x:v>
      </x:c>
      <x:c r="H13" s="75" t="n">
        <x:f>'Assumptions'!$B$41*C13/12</x:f>
        <x:v>2.25</x:v>
      </x:c>
      <x:c r="I13" s="76" t="n">
        <x:f>H13*'Assumptions'!$B$42</x:f>
        <x:v>1347.75</x:v>
      </x:c>
      <x:c r="J13" s="75" t="n">
        <x:f>'Assumptions'!$B$43*C13/12</x:f>
        <x:v>0</x:v>
      </x:c>
      <x:c r="K13" s="76" t="n">
        <x:f>J13*'Assumptions'!$B$44</x:f>
        <x:v>0</x:v>
      </x:c>
      <x:c r="L13" s="67" t="n">
        <x:f>'Assumptions'!$B$46</x:f>
        <x:v>0</x:v>
      </x:c>
      <x:c r="M13" s="76" t="n">
        <x:f>SUM(E13,G13,I13,K13)*L13</x:f>
        <x:v>0</x:v>
      </x:c>
      <x:c r="N13" s="75" t="n">
        <x:f>('Assumptions'!$B$37+'Assumptions'!$B$39+'Assumptions'!$B$41)/12</x:f>
        <x:v>2.5</x:v>
      </x:c>
      <x:c r="O13" s="76" t="n">
        <x:f>'Assumptions'!$B$47</x:f>
        <x:v>600</x:v>
      </x:c>
      <x:c r="P13" s="75" t="n">
        <x:f>'Assumptions'!$B$43/12</x:f>
        <x:v>0</x:v>
      </x:c>
      <x:c r="Q13" s="76" t="n">
        <x:f>'Assumptions'!$B$48</x:f>
        <x:v>3000</x:v>
      </x:c>
      <x:c r="R13" s="76" t="n">
        <x:f>N13*O13+P13*Q13</x:f>
        <x:v>1500</x:v>
      </x:c>
      <x:c r="S13" s="76" t="n">
        <x:f>SUM(E13,G13,I13,K13,M13,R13)</x:f>
        <x:v>6202.5</x:v>
      </x:c>
      <x:c r="T13" s="76" t="n">
        <x:f>SUM(E13,G13,I13,K13)*'Assumptions'!$B$49+M13*'Assumptions'!$B$50+R13*'Assumptions'!$B$51</x:f>
        <x:v>2695.875</x:v>
      </x:c>
      <x:c r="U13" s="76" t="n">
        <x:f>S13-T13</x:f>
        <x:v>3506.625</x:v>
      </x:c>
    </x:row>
    <x:row r="14">
      <x:c r="A14" s="74" t="n">
        <x:v>46784</x:v>
      </x:c>
      <x:c r="B14" s="29" t="n">
        <x:v>1</x:v>
      </x:c>
      <x:c r="C14" s="29" t="n">
        <x:v>10</x:v>
      </x:c>
      <x:c r="D14" s="75" t="n">
        <x:f>'Assumptions'!$B$37*C14/12</x:f>
        <x:v>12.5</x:v>
      </x:c>
      <x:c r="E14" s="76" t="n">
        <x:f>D14*'Assumptions'!$B$38</x:f>
        <x:v>1237.5</x:v>
      </x:c>
      <x:c r="F14" s="75" t="n">
        <x:f>'Assumptions'!$B$39*C14/12</x:f>
        <x:v>10</x:v>
      </x:c>
      <x:c r="G14" s="76" t="n">
        <x:f>F14*'Assumptions'!$B$40</x:f>
        <x:v>2490</x:v>
      </x:c>
      <x:c r="H14" s="75" t="n">
        <x:f>'Assumptions'!$B$41*C14/12</x:f>
        <x:v>2.5</x:v>
      </x:c>
      <x:c r="I14" s="76" t="n">
        <x:f>H14*'Assumptions'!$B$42</x:f>
        <x:v>1497.5</x:v>
      </x:c>
      <x:c r="J14" s="75" t="n">
        <x:f>'Assumptions'!$B$43*C14/12</x:f>
        <x:v>0</x:v>
      </x:c>
      <x:c r="K14" s="76" t="n">
        <x:f>J14*'Assumptions'!$B$44</x:f>
        <x:v>0</x:v>
      </x:c>
      <x:c r="L14" s="67" t="n">
        <x:f>'Assumptions'!$B$46</x:f>
        <x:v>0</x:v>
      </x:c>
      <x:c r="M14" s="76" t="n">
        <x:f>SUM(E14,G14,I14,K14)*L14</x:f>
        <x:v>0</x:v>
      </x:c>
      <x:c r="N14" s="75" t="n">
        <x:f>('Assumptions'!$B$37+'Assumptions'!$B$39+'Assumptions'!$B$41)/12</x:f>
        <x:v>2.5</x:v>
      </x:c>
      <x:c r="O14" s="76" t="n">
        <x:f>'Assumptions'!$B$47</x:f>
        <x:v>600</x:v>
      </x:c>
      <x:c r="P14" s="75" t="n">
        <x:f>'Assumptions'!$B$43/12</x:f>
        <x:v>0</x:v>
      </x:c>
      <x:c r="Q14" s="76" t="n">
        <x:f>'Assumptions'!$B$48</x:f>
        <x:v>3000</x:v>
      </x:c>
      <x:c r="R14" s="76" t="n">
        <x:f>N14*O14+P14*Q14</x:f>
        <x:v>1500</x:v>
      </x:c>
      <x:c r="S14" s="76" t="n">
        <x:f>SUM(E14,G14,I14,K14,M14,R14)</x:f>
        <x:v>6725</x:v>
      </x:c>
      <x:c r="T14" s="76" t="n">
        <x:f>SUM(E14,G14,I14,K14)*'Assumptions'!$B$49+M14*'Assumptions'!$B$50+R14*'Assumptions'!$B$51</x:f>
        <x:v>2878.75</x:v>
      </x:c>
      <x:c r="U14" s="76" t="n">
        <x:f>S14-T14</x:f>
        <x:v>3846.25</x:v>
      </x:c>
    </x:row>
    <x:row r="15">
      <x:c r="A15" s="74" t="n">
        <x:v>46813</x:v>
      </x:c>
      <x:c r="B15" s="29" t="n">
        <x:v>1</x:v>
      </x:c>
      <x:c r="C15" s="29" t="n">
        <x:v>11</x:v>
      </x:c>
      <x:c r="D15" s="75" t="n">
        <x:f>'Assumptions'!$B$37*C15/12</x:f>
        <x:v>13.75</x:v>
      </x:c>
      <x:c r="E15" s="76" t="n">
        <x:f>D15*'Assumptions'!$B$38</x:f>
        <x:v>1361.25</x:v>
      </x:c>
      <x:c r="F15" s="75" t="n">
        <x:f>'Assumptions'!$B$39*C15/12</x:f>
        <x:v>11</x:v>
      </x:c>
      <x:c r="G15" s="76" t="n">
        <x:f>F15*'Assumptions'!$B$40</x:f>
        <x:v>2739</x:v>
      </x:c>
      <x:c r="H15" s="75" t="n">
        <x:f>'Assumptions'!$B$41*C15/12</x:f>
        <x:v>2.75</x:v>
      </x:c>
      <x:c r="I15" s="76" t="n">
        <x:f>H15*'Assumptions'!$B$42</x:f>
        <x:v>1647.25</x:v>
      </x:c>
      <x:c r="J15" s="75" t="n">
        <x:f>'Assumptions'!$B$43*C15/12</x:f>
        <x:v>0</x:v>
      </x:c>
      <x:c r="K15" s="76" t="n">
        <x:f>J15*'Assumptions'!$B$44</x:f>
        <x:v>0</x:v>
      </x:c>
      <x:c r="L15" s="67" t="n">
        <x:f>'Assumptions'!$B$46</x:f>
        <x:v>0</x:v>
      </x:c>
      <x:c r="M15" s="76" t="n">
        <x:f>SUM(E15,G15,I15,K15)*L15</x:f>
        <x:v>0</x:v>
      </x:c>
      <x:c r="N15" s="75" t="n">
        <x:f>('Assumptions'!$B$37+'Assumptions'!$B$39+'Assumptions'!$B$41)/12</x:f>
        <x:v>2.5</x:v>
      </x:c>
      <x:c r="O15" s="76" t="n">
        <x:f>'Assumptions'!$B$47</x:f>
        <x:v>600</x:v>
      </x:c>
      <x:c r="P15" s="75" t="n">
        <x:f>'Assumptions'!$B$43/12</x:f>
        <x:v>0</x:v>
      </x:c>
      <x:c r="Q15" s="76" t="n">
        <x:f>'Assumptions'!$B$48</x:f>
        <x:v>3000</x:v>
      </x:c>
      <x:c r="R15" s="76" t="n">
        <x:f>N15*O15+P15*Q15</x:f>
        <x:v>1500</x:v>
      </x:c>
      <x:c r="S15" s="76" t="n">
        <x:f>SUM(E15,G15,I15,K15,M15,R15)</x:f>
        <x:v>7247.5</x:v>
      </x:c>
      <x:c r="T15" s="76" t="n">
        <x:f>SUM(E15,G15,I15,K15)*'Assumptions'!$B$49+M15*'Assumptions'!$B$50+R15*'Assumptions'!$B$51</x:f>
        <x:v>3061.625</x:v>
      </x:c>
      <x:c r="U15" s="76" t="n">
        <x:f>S15-T15</x:f>
        <x:v>4185.875</x:v>
      </x:c>
    </x:row>
    <x:row r="16">
      <x:c r="A16" s="74" t="n">
        <x:v>46844</x:v>
      </x:c>
      <x:c r="B16" s="29" t="n">
        <x:v>1</x:v>
      </x:c>
      <x:c r="C16" s="29" t="n">
        <x:v>12</x:v>
      </x:c>
      <x:c r="D16" s="75" t="n">
        <x:f>'Assumptions'!$B$37*C16/12</x:f>
        <x:v>15</x:v>
      </x:c>
      <x:c r="E16" s="76" t="n">
        <x:f>D16*'Assumptions'!$B$38</x:f>
        <x:v>1485</x:v>
      </x:c>
      <x:c r="F16" s="75" t="n">
        <x:f>'Assumptions'!$B$39*C16/12</x:f>
        <x:v>12</x:v>
      </x:c>
      <x:c r="G16" s="76" t="n">
        <x:f>F16*'Assumptions'!$B$40</x:f>
        <x:v>2988</x:v>
      </x:c>
      <x:c r="H16" s="75" t="n">
        <x:f>'Assumptions'!$B$41*C16/12</x:f>
        <x:v>3</x:v>
      </x:c>
      <x:c r="I16" s="76" t="n">
        <x:f>H16*'Assumptions'!$B$42</x:f>
        <x:v>1797</x:v>
      </x:c>
      <x:c r="J16" s="75" t="n">
        <x:f>'Assumptions'!$B$43*C16/12</x:f>
        <x:v>0</x:v>
      </x:c>
      <x:c r="K16" s="76" t="n">
        <x:f>J16*'Assumptions'!$B$44</x:f>
        <x:v>0</x:v>
      </x:c>
      <x:c r="L16" s="67" t="n">
        <x:f>'Assumptions'!$B$46</x:f>
        <x:v>0</x:v>
      </x:c>
      <x:c r="M16" s="76" t="n">
        <x:f>SUM(E16,G16,I16,K16)*L16</x:f>
        <x:v>0</x:v>
      </x:c>
      <x:c r="N16" s="75" t="n">
        <x:f>('Assumptions'!$B$37+'Assumptions'!$B$39+'Assumptions'!$B$41)/12</x:f>
        <x:v>2.5</x:v>
      </x:c>
      <x:c r="O16" s="76" t="n">
        <x:f>'Assumptions'!$B$47</x:f>
        <x:v>600</x:v>
      </x:c>
      <x:c r="P16" s="75" t="n">
        <x:f>'Assumptions'!$B$43/12</x:f>
        <x:v>0</x:v>
      </x:c>
      <x:c r="Q16" s="76" t="n">
        <x:f>'Assumptions'!$B$48</x:f>
        <x:v>3000</x:v>
      </x:c>
      <x:c r="R16" s="76" t="n">
        <x:f>N16*O16+P16*Q16</x:f>
        <x:v>1500</x:v>
      </x:c>
      <x:c r="S16" s="76" t="n">
        <x:f>SUM(E16,G16,I16,K16,M16,R16)</x:f>
        <x:v>7770</x:v>
      </x:c>
      <x:c r="T16" s="76" t="n">
        <x:f>SUM(E16,G16,I16,K16)*'Assumptions'!$B$49+M16*'Assumptions'!$B$50+R16*'Assumptions'!$B$51</x:f>
        <x:v>3244.5</x:v>
      </x:c>
      <x:c r="U16" s="76" t="n">
        <x:f>S16-T16</x:f>
        <x:v>4525.5</x:v>
      </x:c>
    </x:row>
    <x:row r="17">
      <x:c r="A17" s="74" t="n">
        <x:v>46874</x:v>
      </x:c>
      <x:c r="B17" s="29" t="n">
        <x:v>2</x:v>
      </x:c>
      <x:c r="C17" s="29" t="n">
        <x:v>1</x:v>
      </x:c>
      <x:c r="D17" s="75" t="n">
        <x:f>'Assumptions'!$B$37*'Assumptions'!$B$45+'Assumptions'!$C$37*C17/12</x:f>
        <x:v>15.166666666666666</x:v>
      </x:c>
      <x:c r="E17" s="76" t="n">
        <x:f>D17*'Assumptions'!$C$38</x:f>
        <x:v>1501.5</x:v>
      </x:c>
      <x:c r="F17" s="75" t="n">
        <x:f>'Assumptions'!$B$39*'Assumptions'!$B$45+'Assumptions'!$C$39*C17/12</x:f>
        <x:v>12.883333333333335</x:v>
      </x:c>
      <x:c r="G17" s="76" t="n">
        <x:f>F17*'Assumptions'!$C$40</x:f>
        <x:v>3207.9500000000003</x:v>
      </x:c>
      <x:c r="H17" s="75" t="n">
        <x:f>'Assumptions'!$B$41*'Assumptions'!$B$45+'Assumptions'!$C$41*C17/12</x:f>
        <x:v>3.1166666666666667</x:v>
      </x:c>
      <x:c r="I17" s="76" t="n">
        <x:f>H17*'Assumptions'!$C$42</x:f>
        <x:v>1866.8833333333334</x:v>
      </x:c>
      <x:c r="J17" s="75" t="n">
        <x:f>'Assumptions'!$B$43*'Assumptions'!$B$45+'Assumptions'!$C$43*C17/12</x:f>
        <x:v>0.08333333333333333</x:v>
      </x:c>
      <x:c r="K17" s="76" t="n">
        <x:f>J17*'Assumptions'!$C$44</x:f>
        <x:v>83.33333333333333</x:v>
      </x:c>
      <x:c r="L17" s="67" t="n">
        <x:f>'Assumptions'!$C$46</x:f>
        <x:v>0</x:v>
      </x:c>
      <x:c r="M17" s="76" t="n">
        <x:f>SUM(E17,G17,I17,K17)*L17</x:f>
        <x:v>0</x:v>
      </x:c>
      <x:c r="N17" s="75" t="n">
        <x:f>('Assumptions'!$C$37+'Assumptions'!$C$39+'Assumptions'!$C$41)/12</x:f>
        <x:v>4.166666666666667</x:v>
      </x:c>
      <x:c r="O17" s="76" t="n">
        <x:f>'Assumptions'!$C$47</x:f>
        <x:v>500</x:v>
      </x:c>
      <x:c r="P17" s="75" t="n">
        <x:f>'Assumptions'!$C$43/12</x:f>
        <x:v>0.08333333333333333</x:v>
      </x:c>
      <x:c r="Q17" s="76" t="n">
        <x:f>'Assumptions'!$C$48</x:f>
        <x:v>4000</x:v>
      </x:c>
      <x:c r="R17" s="76" t="n">
        <x:f>N17*O17+P17*Q17</x:f>
        <x:v>2416.666666666667</x:v>
      </x:c>
      <x:c r="S17" s="76" t="n">
        <x:f>SUM(E17,G17,I17,K17,M17,R17)</x:f>
        <x:v>9076.333333333334</x:v>
      </x:c>
      <x:c r="T17" s="76" t="n">
        <x:f>SUM(E17,G17,I17,K17)*'Assumptions'!$C$49+M17*'Assumptions'!$C$50+R17*'Assumptions'!$C$51</x:f>
        <x:v>3822.76</x:v>
      </x:c>
      <x:c r="U17" s="76" t="n">
        <x:f>S17-T17</x:f>
        <x:v>5253.573333333334</x:v>
      </x:c>
    </x:row>
    <x:row r="18">
      <x:c r="A18" s="74" t="n">
        <x:v>46905</x:v>
      </x:c>
      <x:c r="B18" s="29" t="n">
        <x:v>2</x:v>
      </x:c>
      <x:c r="C18" s="29" t="n">
        <x:v>2</x:v>
      </x:c>
      <x:c r="D18" s="75" t="n">
        <x:f>'Assumptions'!$B$37*'Assumptions'!$B$45+'Assumptions'!$C$37*C18/12</x:f>
        <x:v>16.833333333333332</x:v>
      </x:c>
      <x:c r="E18" s="76" t="n">
        <x:f>D18*'Assumptions'!$C$38</x:f>
        <x:v>1666.4999999999998</x:v>
      </x:c>
      <x:c r="F18" s="75" t="n">
        <x:f>'Assumptions'!$B$39*'Assumptions'!$B$45+'Assumptions'!$C$39*C18/12</x:f>
        <x:v>14.966666666666669</x:v>
      </x:c>
      <x:c r="G18" s="76" t="n">
        <x:f>F18*'Assumptions'!$C$40</x:f>
        <x:v>3726.7000000000003</x:v>
      </x:c>
      <x:c r="H18" s="75" t="n">
        <x:f>'Assumptions'!$B$41*'Assumptions'!$B$45+'Assumptions'!$C$41*C18/12</x:f>
        <x:v>3.5333333333333337</x:v>
      </x:c>
      <x:c r="I18" s="76" t="n">
        <x:f>H18*'Assumptions'!$C$42</x:f>
        <x:v>2116.4666666666667</x:v>
      </x:c>
      <x:c r="J18" s="75" t="n">
        <x:f>'Assumptions'!$B$43*'Assumptions'!$B$45+'Assumptions'!$C$43*C18/12</x:f>
        <x:v>0.16666666666666666</x:v>
      </x:c>
      <x:c r="K18" s="76" t="n">
        <x:f>J18*'Assumptions'!$C$44</x:f>
        <x:v>166.66666666666666</x:v>
      </x:c>
      <x:c r="L18" s="67" t="n">
        <x:f>'Assumptions'!$C$46</x:f>
        <x:v>0</x:v>
      </x:c>
      <x:c r="M18" s="76" t="n">
        <x:f>SUM(E18,G18,I18,K18)*L18</x:f>
        <x:v>0</x:v>
      </x:c>
      <x:c r="N18" s="75" t="n">
        <x:f>('Assumptions'!$C$37+'Assumptions'!$C$39+'Assumptions'!$C$41)/12</x:f>
        <x:v>4.166666666666667</x:v>
      </x:c>
      <x:c r="O18" s="76" t="n">
        <x:f>'Assumptions'!$C$47</x:f>
        <x:v>500</x:v>
      </x:c>
      <x:c r="P18" s="75" t="n">
        <x:f>'Assumptions'!$C$43/12</x:f>
        <x:v>0.08333333333333333</x:v>
      </x:c>
      <x:c r="Q18" s="76" t="n">
        <x:f>'Assumptions'!$C$48</x:f>
        <x:v>4000</x:v>
      </x:c>
      <x:c r="R18" s="76" t="n">
        <x:f>N18*O18+P18*Q18</x:f>
        <x:v>2416.666666666667</x:v>
      </x:c>
      <x:c r="S18" s="76" t="n">
        <x:f>SUM(E18,G18,I18,K18,M18,R18)</x:f>
        <x:v>10093</x:v>
      </x:c>
      <x:c r="T18" s="76" t="n">
        <x:f>SUM(E18,G18,I18,K18)*'Assumptions'!$C$49+M18*'Assumptions'!$C$50+R18*'Assumptions'!$C$51</x:f>
        <x:v>4148.093333333333</x:v>
      </x:c>
      <x:c r="U18" s="76" t="n">
        <x:f>S18-T18</x:f>
        <x:v>5944.906666666667</x:v>
      </x:c>
    </x:row>
    <x:row r="19">
      <x:c r="A19" s="74" t="n">
        <x:v>46935</x:v>
      </x:c>
      <x:c r="B19" s="29" t="n">
        <x:v>2</x:v>
      </x:c>
      <x:c r="C19" s="29" t="n">
        <x:v>3</x:v>
      </x:c>
      <x:c r="D19" s="75" t="n">
        <x:f>'Assumptions'!$B$37*'Assumptions'!$B$45+'Assumptions'!$C$37*C19/12</x:f>
        <x:v>18.5</x:v>
      </x:c>
      <x:c r="E19" s="76" t="n">
        <x:f>D19*'Assumptions'!$C$38</x:f>
        <x:v>1831.5</x:v>
      </x:c>
      <x:c r="F19" s="75" t="n">
        <x:f>'Assumptions'!$B$39*'Assumptions'!$B$45+'Assumptions'!$C$39*C19/12</x:f>
        <x:v>17.05</x:v>
      </x:c>
      <x:c r="G19" s="76" t="n">
        <x:f>F19*'Assumptions'!$C$40</x:f>
        <x:v>4245.45</x:v>
      </x:c>
      <x:c r="H19" s="75" t="n">
        <x:f>'Assumptions'!$B$41*'Assumptions'!$B$45+'Assumptions'!$C$41*C19/12</x:f>
        <x:v>3.95</x:v>
      </x:c>
      <x:c r="I19" s="76" t="n">
        <x:f>H19*'Assumptions'!$C$42</x:f>
        <x:v>2366.05</x:v>
      </x:c>
      <x:c r="J19" s="75" t="n">
        <x:f>'Assumptions'!$B$43*'Assumptions'!$B$45+'Assumptions'!$C$43*C19/12</x:f>
        <x:v>0.25</x:v>
      </x:c>
      <x:c r="K19" s="76" t="n">
        <x:f>J19*'Assumptions'!$C$44</x:f>
        <x:v>250</x:v>
      </x:c>
      <x:c r="L19" s="67" t="n">
        <x:f>'Assumptions'!$C$46</x:f>
        <x:v>0</x:v>
      </x:c>
      <x:c r="M19" s="76" t="n">
        <x:f>SUM(E19,G19,I19,K19)*L19</x:f>
        <x:v>0</x:v>
      </x:c>
      <x:c r="N19" s="75" t="n">
        <x:f>('Assumptions'!$C$37+'Assumptions'!$C$39+'Assumptions'!$C$41)/12</x:f>
        <x:v>4.166666666666667</x:v>
      </x:c>
      <x:c r="O19" s="76" t="n">
        <x:f>'Assumptions'!$C$47</x:f>
        <x:v>500</x:v>
      </x:c>
      <x:c r="P19" s="75" t="n">
        <x:f>'Assumptions'!$C$43/12</x:f>
        <x:v>0.08333333333333333</x:v>
      </x:c>
      <x:c r="Q19" s="76" t="n">
        <x:f>'Assumptions'!$C$48</x:f>
        <x:v>4000</x:v>
      </x:c>
      <x:c r="R19" s="76" t="n">
        <x:f>N19*O19+P19*Q19</x:f>
        <x:v>2416.666666666667</x:v>
      </x:c>
      <x:c r="S19" s="76" t="n">
        <x:f>SUM(E19,G19,I19,K19,M19,R19)</x:f>
        <x:v>11109.666666666668</x:v>
      </x:c>
      <x:c r="T19" s="76" t="n">
        <x:f>SUM(E19,G19,I19,K19)*'Assumptions'!$C$49+M19*'Assumptions'!$C$50+R19*'Assumptions'!$C$51</x:f>
        <x:v>4473.426666666667</x:v>
      </x:c>
      <x:c r="U19" s="76" t="n">
        <x:f>S19-T19</x:f>
        <x:v>6636.240000000001</x:v>
      </x:c>
    </x:row>
    <x:row r="20">
      <x:c r="A20" s="74" t="n">
        <x:v>46966</x:v>
      </x:c>
      <x:c r="B20" s="29" t="n">
        <x:v>2</x:v>
      </x:c>
      <x:c r="C20" s="29" t="n">
        <x:v>4</x:v>
      </x:c>
      <x:c r="D20" s="75" t="n">
        <x:f>'Assumptions'!$B$37*'Assumptions'!$B$45+'Assumptions'!$C$37*C20/12</x:f>
        <x:v>20.166666666666668</x:v>
      </x:c>
      <x:c r="E20" s="76" t="n">
        <x:f>D20*'Assumptions'!$C$38</x:f>
        <x:v>1996.5000000000002</x:v>
      </x:c>
      <x:c r="F20" s="75" t="n">
        <x:f>'Assumptions'!$B$39*'Assumptions'!$B$45+'Assumptions'!$C$39*C20/12</x:f>
        <x:v>19.133333333333333</x:v>
      </x:c>
      <x:c r="G20" s="76" t="n">
        <x:f>F20*'Assumptions'!$C$40</x:f>
        <x:v>4764.2</x:v>
      </x:c>
      <x:c r="H20" s="75" t="n">
        <x:f>'Assumptions'!$B$41*'Assumptions'!$B$45+'Assumptions'!$C$41*C20/12</x:f>
        <x:v>4.366666666666667</x:v>
      </x:c>
      <x:c r="I20" s="76" t="n">
        <x:f>H20*'Assumptions'!$C$42</x:f>
        <x:v>2615.6333333333337</x:v>
      </x:c>
      <x:c r="J20" s="75" t="n">
        <x:f>'Assumptions'!$B$43*'Assumptions'!$B$45+'Assumptions'!$C$43*C20/12</x:f>
        <x:v>0.3333333333333333</x:v>
      </x:c>
      <x:c r="K20" s="76" t="n">
        <x:f>J20*'Assumptions'!$C$44</x:f>
        <x:v>333.3333333333333</x:v>
      </x:c>
      <x:c r="L20" s="67" t="n">
        <x:f>'Assumptions'!$C$46</x:f>
        <x:v>0</x:v>
      </x:c>
      <x:c r="M20" s="76" t="n">
        <x:f>SUM(E20,G20,I20,K20)*L20</x:f>
        <x:v>0</x:v>
      </x:c>
      <x:c r="N20" s="75" t="n">
        <x:f>('Assumptions'!$C$37+'Assumptions'!$C$39+'Assumptions'!$C$41)/12</x:f>
        <x:v>4.166666666666667</x:v>
      </x:c>
      <x:c r="O20" s="76" t="n">
        <x:f>'Assumptions'!$C$47</x:f>
        <x:v>500</x:v>
      </x:c>
      <x:c r="P20" s="75" t="n">
        <x:f>'Assumptions'!$C$43/12</x:f>
        <x:v>0.08333333333333333</x:v>
      </x:c>
      <x:c r="Q20" s="76" t="n">
        <x:f>'Assumptions'!$C$48</x:f>
        <x:v>4000</x:v>
      </x:c>
      <x:c r="R20" s="76" t="n">
        <x:f>N20*O20+P20*Q20</x:f>
        <x:v>2416.666666666667</x:v>
      </x:c>
      <x:c r="S20" s="76" t="n">
        <x:f>SUM(E20,G20,I20,K20,M20,R20)</x:f>
        <x:v>12126.333333333336</x:v>
      </x:c>
      <x:c r="T20" s="76" t="n">
        <x:f>SUM(E20,G20,I20,K20)*'Assumptions'!$C$49+M20*'Assumptions'!$C$50+R20*'Assumptions'!$C$51</x:f>
        <x:v>4798.76</x:v>
      </x:c>
      <x:c r="U20" s="76" t="n">
        <x:f>S20-T20</x:f>
        <x:v>7327.5733333333355</x:v>
      </x:c>
    </x:row>
    <x:row r="21">
      <x:c r="A21" s="74" t="n">
        <x:v>46997</x:v>
      </x:c>
      <x:c r="B21" s="29" t="n">
        <x:v>2</x:v>
      </x:c>
      <x:c r="C21" s="29" t="n">
        <x:v>5</x:v>
      </x:c>
      <x:c r="D21" s="75" t="n">
        <x:f>'Assumptions'!$B$37*'Assumptions'!$B$45+'Assumptions'!$C$37*C21/12</x:f>
        <x:v>21.833333333333336</x:v>
      </x:c>
      <x:c r="E21" s="76" t="n">
        <x:f>D21*'Assumptions'!$C$38</x:f>
        <x:v>2161.5000000000005</x:v>
      </x:c>
      <x:c r="F21" s="75" t="n">
        <x:f>'Assumptions'!$B$39*'Assumptions'!$B$45+'Assumptions'!$C$39*C21/12</x:f>
        <x:v>21.21666666666667</x:v>
      </x:c>
      <x:c r="G21" s="76" t="n">
        <x:f>F21*'Assumptions'!$C$40</x:f>
        <x:v>5282.950000000001</x:v>
      </x:c>
      <x:c r="H21" s="75" t="n">
        <x:f>'Assumptions'!$B$41*'Assumptions'!$B$45+'Assumptions'!$C$41*C21/12</x:f>
        <x:v>4.783333333333333</x:v>
      </x:c>
      <x:c r="I21" s="76" t="n">
        <x:f>H21*'Assumptions'!$C$42</x:f>
        <x:v>2865.2166666666667</x:v>
      </x:c>
      <x:c r="J21" s="75" t="n">
        <x:f>'Assumptions'!$B$43*'Assumptions'!$B$45+'Assumptions'!$C$43*C21/12</x:f>
        <x:v>0.4166666666666667</x:v>
      </x:c>
      <x:c r="K21" s="76" t="n">
        <x:f>J21*'Assumptions'!$C$44</x:f>
        <x:v>416.6666666666667</x:v>
      </x:c>
      <x:c r="L21" s="67" t="n">
        <x:f>'Assumptions'!$C$46</x:f>
        <x:v>0</x:v>
      </x:c>
      <x:c r="M21" s="76" t="n">
        <x:f>SUM(E21,G21,I21,K21)*L21</x:f>
        <x:v>0</x:v>
      </x:c>
      <x:c r="N21" s="75" t="n">
        <x:f>('Assumptions'!$C$37+'Assumptions'!$C$39+'Assumptions'!$C$41)/12</x:f>
        <x:v>4.166666666666667</x:v>
      </x:c>
      <x:c r="O21" s="76" t="n">
        <x:f>'Assumptions'!$C$47</x:f>
        <x:v>500</x:v>
      </x:c>
      <x:c r="P21" s="75" t="n">
        <x:f>'Assumptions'!$C$43/12</x:f>
        <x:v>0.08333333333333333</x:v>
      </x:c>
      <x:c r="Q21" s="76" t="n">
        <x:f>'Assumptions'!$C$48</x:f>
        <x:v>4000</x:v>
      </x:c>
      <x:c r="R21" s="76" t="n">
        <x:f>N21*O21+P21*Q21</x:f>
        <x:v>2416.666666666667</x:v>
      </x:c>
      <x:c r="S21" s="76" t="n">
        <x:f>SUM(E21,G21,I21,K21,M21,R21)</x:f>
        <x:v>13143</x:v>
      </x:c>
      <x:c r="T21" s="76" t="n">
        <x:f>SUM(E21,G21,I21,K21)*'Assumptions'!$C$49+M21*'Assumptions'!$C$50+R21*'Assumptions'!$C$51</x:f>
        <x:v>5124.093333333333</x:v>
      </x:c>
      <x:c r="U21" s="76" t="n">
        <x:f>S21-T21</x:f>
        <x:v>8018.906666666667</x:v>
      </x:c>
    </x:row>
    <x:row r="22">
      <x:c r="A22" s="74" t="n">
        <x:v>47027</x:v>
      </x:c>
      <x:c r="B22" s="29" t="n">
        <x:v>2</x:v>
      </x:c>
      <x:c r="C22" s="29" t="n">
        <x:v>6</x:v>
      </x:c>
      <x:c r="D22" s="75" t="n">
        <x:f>'Assumptions'!$B$37*'Assumptions'!$B$45+'Assumptions'!$C$37*C22/12</x:f>
        <x:v>23.5</x:v>
      </x:c>
      <x:c r="E22" s="76" t="n">
        <x:f>D22*'Assumptions'!$C$38</x:f>
        <x:v>2326.5</x:v>
      </x:c>
      <x:c r="F22" s="75" t="n">
        <x:f>'Assumptions'!$B$39*'Assumptions'!$B$45+'Assumptions'!$C$39*C22/12</x:f>
        <x:v>23.3</x:v>
      </x:c>
      <x:c r="G22" s="76" t="n">
        <x:f>F22*'Assumptions'!$C$40</x:f>
        <x:v>5801.7</x:v>
      </x:c>
      <x:c r="H22" s="75" t="n">
        <x:f>'Assumptions'!$B$41*'Assumptions'!$B$45+'Assumptions'!$C$41*C22/12</x:f>
        <x:v>5.2</x:v>
      </x:c>
      <x:c r="I22" s="76" t="n">
        <x:f>H22*'Assumptions'!$C$42</x:f>
        <x:v>3114.8</x:v>
      </x:c>
      <x:c r="J22" s="75" t="n">
        <x:f>'Assumptions'!$B$43*'Assumptions'!$B$45+'Assumptions'!$C$43*C22/12</x:f>
        <x:v>0.5</x:v>
      </x:c>
      <x:c r="K22" s="76" t="n">
        <x:f>J22*'Assumptions'!$C$44</x:f>
        <x:v>500</x:v>
      </x:c>
      <x:c r="L22" s="67" t="n">
        <x:f>'Assumptions'!$C$46</x:f>
        <x:v>0</x:v>
      </x:c>
      <x:c r="M22" s="76" t="n">
        <x:f>SUM(E22,G22,I22,K22)*L22</x:f>
        <x:v>0</x:v>
      </x:c>
      <x:c r="N22" s="75" t="n">
        <x:f>('Assumptions'!$C$37+'Assumptions'!$C$39+'Assumptions'!$C$41)/12</x:f>
        <x:v>4.166666666666667</x:v>
      </x:c>
      <x:c r="O22" s="76" t="n">
        <x:f>'Assumptions'!$C$47</x:f>
        <x:v>500</x:v>
      </x:c>
      <x:c r="P22" s="75" t="n">
        <x:f>'Assumptions'!$C$43/12</x:f>
        <x:v>0.08333333333333333</x:v>
      </x:c>
      <x:c r="Q22" s="76" t="n">
        <x:f>'Assumptions'!$C$48</x:f>
        <x:v>4000</x:v>
      </x:c>
      <x:c r="R22" s="76" t="n">
        <x:f>N22*O22+P22*Q22</x:f>
        <x:v>2416.666666666667</x:v>
      </x:c>
      <x:c r="S22" s="76" t="n">
        <x:f>SUM(E22,G22,I22,K22,M22,R22)</x:f>
        <x:v>14159.666666666668</x:v>
      </x:c>
      <x:c r="T22" s="76" t="n">
        <x:f>SUM(E22,G22,I22,K22)*'Assumptions'!$C$49+M22*'Assumptions'!$C$50+R22*'Assumptions'!$C$51</x:f>
        <x:v>5449.426666666667</x:v>
      </x:c>
      <x:c r="U22" s="76" t="n">
        <x:f>S22-T22</x:f>
        <x:v>8710.240000000002</x:v>
      </x:c>
    </x:row>
    <x:row r="23">
      <x:c r="A23" s="74" t="n">
        <x:v>47058</x:v>
      </x:c>
      <x:c r="B23" s="29" t="n">
        <x:v>2</x:v>
      </x:c>
      <x:c r="C23" s="29" t="n">
        <x:v>7</x:v>
      </x:c>
      <x:c r="D23" s="75" t="n">
        <x:f>'Assumptions'!$B$37*'Assumptions'!$B$45+'Assumptions'!$C$37*C23/12</x:f>
        <x:v>25.166666666666664</x:v>
      </x:c>
      <x:c r="E23" s="76" t="n">
        <x:f>D23*'Assumptions'!$C$38</x:f>
        <x:v>2491.4999999999995</x:v>
      </x:c>
      <x:c r="F23" s="75" t="n">
        <x:f>'Assumptions'!$B$39*'Assumptions'!$B$45+'Assumptions'!$C$39*C23/12</x:f>
        <x:v>25.383333333333333</x:v>
      </x:c>
      <x:c r="G23" s="76" t="n">
        <x:f>F23*'Assumptions'!$C$40</x:f>
        <x:v>6320.45</x:v>
      </x:c>
      <x:c r="H23" s="75" t="n">
        <x:f>'Assumptions'!$B$41*'Assumptions'!$B$45+'Assumptions'!$C$41*C23/12</x:f>
        <x:v>5.616666666666667</x:v>
      </x:c>
      <x:c r="I23" s="76" t="n">
        <x:f>H23*'Assumptions'!$C$42</x:f>
        <x:v>3364.3833333333337</x:v>
      </x:c>
      <x:c r="J23" s="75" t="n">
        <x:f>'Assumptions'!$B$43*'Assumptions'!$B$45+'Assumptions'!$C$43*C23/12</x:f>
        <x:v>0.5833333333333334</x:v>
      </x:c>
      <x:c r="K23" s="76" t="n">
        <x:f>J23*'Assumptions'!$C$44</x:f>
        <x:v>583.3333333333334</x:v>
      </x:c>
      <x:c r="L23" s="67" t="n">
        <x:f>'Assumptions'!$C$46</x:f>
        <x:v>0</x:v>
      </x:c>
      <x:c r="M23" s="76" t="n">
        <x:f>SUM(E23,G23,I23,K23)*L23</x:f>
        <x:v>0</x:v>
      </x:c>
      <x:c r="N23" s="75" t="n">
        <x:f>('Assumptions'!$C$37+'Assumptions'!$C$39+'Assumptions'!$C$41)/12</x:f>
        <x:v>4.166666666666667</x:v>
      </x:c>
      <x:c r="O23" s="76" t="n">
        <x:f>'Assumptions'!$C$47</x:f>
        <x:v>500</x:v>
      </x:c>
      <x:c r="P23" s="75" t="n">
        <x:f>'Assumptions'!$C$43/12</x:f>
        <x:v>0.08333333333333333</x:v>
      </x:c>
      <x:c r="Q23" s="76" t="n">
        <x:f>'Assumptions'!$C$48</x:f>
        <x:v>4000</x:v>
      </x:c>
      <x:c r="R23" s="76" t="n">
        <x:f>N23*O23+P23*Q23</x:f>
        <x:v>2416.666666666667</x:v>
      </x:c>
      <x:c r="S23" s="76" t="n">
        <x:f>SUM(E23,G23,I23,K23,M23,R23)</x:f>
        <x:v>15176.333333333332</x:v>
      </x:c>
      <x:c r="T23" s="76" t="n">
        <x:f>SUM(E23,G23,I23,K23)*'Assumptions'!$C$49+M23*'Assumptions'!$C$50+R23*'Assumptions'!$C$51</x:f>
        <x:v>5774.76</x:v>
      </x:c>
      <x:c r="U23" s="76" t="n">
        <x:f>S23-T23</x:f>
        <x:v>9401.573333333332</x:v>
      </x:c>
    </x:row>
    <x:row r="24">
      <x:c r="A24" s="74" t="n">
        <x:v>47088</x:v>
      </x:c>
      <x:c r="B24" s="29" t="n">
        <x:v>2</x:v>
      </x:c>
      <x:c r="C24" s="29" t="n">
        <x:v>8</x:v>
      </x:c>
      <x:c r="D24" s="75" t="n">
        <x:f>'Assumptions'!$B$37*'Assumptions'!$B$45+'Assumptions'!$C$37*C24/12</x:f>
        <x:v>26.833333333333336</x:v>
      </x:c>
      <x:c r="E24" s="76" t="n">
        <x:f>D24*'Assumptions'!$C$38</x:f>
        <x:v>2656.5000000000005</x:v>
      </x:c>
      <x:c r="F24" s="75" t="n">
        <x:f>'Assumptions'!$B$39*'Assumptions'!$B$45+'Assumptions'!$C$39*C24/12</x:f>
        <x:v>27.46666666666667</x:v>
      </x:c>
      <x:c r="G24" s="76" t="n">
        <x:f>F24*'Assumptions'!$C$40</x:f>
        <x:v>6839.200000000001</x:v>
      </x:c>
      <x:c r="H24" s="75" t="n">
        <x:f>'Assumptions'!$B$41*'Assumptions'!$B$45+'Assumptions'!$C$41*C24/12</x:f>
        <x:v>6.033333333333333</x:v>
      </x:c>
      <x:c r="I24" s="76" t="n">
        <x:f>H24*'Assumptions'!$C$42</x:f>
        <x:v>3613.9666666666667</x:v>
      </x:c>
      <x:c r="J24" s="75" t="n">
        <x:f>'Assumptions'!$B$43*'Assumptions'!$B$45+'Assumptions'!$C$43*C24/12</x:f>
        <x:v>0.6666666666666666</x:v>
      </x:c>
      <x:c r="K24" s="76" t="n">
        <x:f>J24*'Assumptions'!$C$44</x:f>
        <x:v>666.6666666666666</x:v>
      </x:c>
      <x:c r="L24" s="67" t="n">
        <x:f>'Assumptions'!$C$46</x:f>
        <x:v>0</x:v>
      </x:c>
      <x:c r="M24" s="76" t="n">
        <x:f>SUM(E24,G24,I24,K24)*L24</x:f>
        <x:v>0</x:v>
      </x:c>
      <x:c r="N24" s="75" t="n">
        <x:f>('Assumptions'!$C$37+'Assumptions'!$C$39+'Assumptions'!$C$41)/12</x:f>
        <x:v>4.166666666666667</x:v>
      </x:c>
      <x:c r="O24" s="76" t="n">
        <x:f>'Assumptions'!$C$47</x:f>
        <x:v>500</x:v>
      </x:c>
      <x:c r="P24" s="75" t="n">
        <x:f>'Assumptions'!$C$43/12</x:f>
        <x:v>0.08333333333333333</x:v>
      </x:c>
      <x:c r="Q24" s="76" t="n">
        <x:f>'Assumptions'!$C$48</x:f>
        <x:v>4000</x:v>
      </x:c>
      <x:c r="R24" s="76" t="n">
        <x:f>N24*O24+P24*Q24</x:f>
        <x:v>2416.666666666667</x:v>
      </x:c>
      <x:c r="S24" s="76" t="n">
        <x:f>SUM(E24,G24,I24,K24,M24,R24)</x:f>
        <x:v>16193</x:v>
      </x:c>
      <x:c r="T24" s="76" t="n">
        <x:f>SUM(E24,G24,I24,K24)*'Assumptions'!$C$49+M24*'Assumptions'!$C$50+R24*'Assumptions'!$C$51</x:f>
        <x:v>6100.093333333334</x:v>
      </x:c>
      <x:c r="U24" s="76" t="n">
        <x:f>S24-T24</x:f>
        <x:v>10092.906666666666</x:v>
      </x:c>
    </x:row>
    <x:row r="25">
      <x:c r="A25" s="74" t="n">
        <x:v>47119</x:v>
      </x:c>
      <x:c r="B25" s="29" t="n">
        <x:v>2</x:v>
      </x:c>
      <x:c r="C25" s="29" t="n">
        <x:v>9</x:v>
      </x:c>
      <x:c r="D25" s="75" t="n">
        <x:f>'Assumptions'!$B$37*'Assumptions'!$B$45+'Assumptions'!$C$37*C25/12</x:f>
        <x:v>28.5</x:v>
      </x:c>
      <x:c r="E25" s="76" t="n">
        <x:f>D25*'Assumptions'!$C$38</x:f>
        <x:v>2821.5</x:v>
      </x:c>
      <x:c r="F25" s="75" t="n">
        <x:f>'Assumptions'!$B$39*'Assumptions'!$B$45+'Assumptions'!$C$39*C25/12</x:f>
        <x:v>29.55</x:v>
      </x:c>
      <x:c r="G25" s="76" t="n">
        <x:f>F25*'Assumptions'!$C$40</x:f>
        <x:v>7357.95</x:v>
      </x:c>
      <x:c r="H25" s="75" t="n">
        <x:f>'Assumptions'!$B$41*'Assumptions'!$B$45+'Assumptions'!$C$41*C25/12</x:f>
        <x:v>6.45</x:v>
      </x:c>
      <x:c r="I25" s="76" t="n">
        <x:f>H25*'Assumptions'!$C$42</x:f>
        <x:v>3863.55</x:v>
      </x:c>
      <x:c r="J25" s="75" t="n">
        <x:f>'Assumptions'!$B$43*'Assumptions'!$B$45+'Assumptions'!$C$43*C25/12</x:f>
        <x:v>0.75</x:v>
      </x:c>
      <x:c r="K25" s="76" t="n">
        <x:f>J25*'Assumptions'!$C$44</x:f>
        <x:v>750</x:v>
      </x:c>
      <x:c r="L25" s="67" t="n">
        <x:f>'Assumptions'!$C$46</x:f>
        <x:v>0</x:v>
      </x:c>
      <x:c r="M25" s="76" t="n">
        <x:f>SUM(E25,G25,I25,K25)*L25</x:f>
        <x:v>0</x:v>
      </x:c>
      <x:c r="N25" s="75" t="n">
        <x:f>('Assumptions'!$C$37+'Assumptions'!$C$39+'Assumptions'!$C$41)/12</x:f>
        <x:v>4.166666666666667</x:v>
      </x:c>
      <x:c r="O25" s="76" t="n">
        <x:f>'Assumptions'!$C$47</x:f>
        <x:v>500</x:v>
      </x:c>
      <x:c r="P25" s="75" t="n">
        <x:f>'Assumptions'!$C$43/12</x:f>
        <x:v>0.08333333333333333</x:v>
      </x:c>
      <x:c r="Q25" s="76" t="n">
        <x:f>'Assumptions'!$C$48</x:f>
        <x:v>4000</x:v>
      </x:c>
      <x:c r="R25" s="76" t="n">
        <x:f>N25*O25+P25*Q25</x:f>
        <x:v>2416.666666666667</x:v>
      </x:c>
      <x:c r="S25" s="76" t="n">
        <x:f>SUM(E25,G25,I25,K25,M25,R25)</x:f>
        <x:v>17209.666666666668</x:v>
      </x:c>
      <x:c r="T25" s="76" t="n">
        <x:f>SUM(E25,G25,I25,K25)*'Assumptions'!$C$49+M25*'Assumptions'!$C$50+R25*'Assumptions'!$C$51</x:f>
        <x:v>6425.426666666667</x:v>
      </x:c>
      <x:c r="U25" s="76" t="n">
        <x:f>S25-T25</x:f>
        <x:v>10784.240000000002</x:v>
      </x:c>
    </x:row>
    <x:row r="26">
      <x:c r="A26" s="74" t="n">
        <x:v>47150</x:v>
      </x:c>
      <x:c r="B26" s="29" t="n">
        <x:v>2</x:v>
      </x:c>
      <x:c r="C26" s="29" t="n">
        <x:v>10</x:v>
      </x:c>
      <x:c r="D26" s="75" t="n">
        <x:f>'Assumptions'!$B$37*'Assumptions'!$B$45+'Assumptions'!$C$37*C26/12</x:f>
        <x:v>30.166666666666668</x:v>
      </x:c>
      <x:c r="E26" s="76" t="n">
        <x:f>D26*'Assumptions'!$C$38</x:f>
        <x:v>2986.5</x:v>
      </x:c>
      <x:c r="F26" s="75" t="n">
        <x:f>'Assumptions'!$B$39*'Assumptions'!$B$45+'Assumptions'!$C$39*C26/12</x:f>
        <x:v>31.633333333333333</x:v>
      </x:c>
      <x:c r="G26" s="76" t="n">
        <x:f>F26*'Assumptions'!$C$40</x:f>
        <x:v>7876.7</x:v>
      </x:c>
      <x:c r="H26" s="75" t="n">
        <x:f>'Assumptions'!$B$41*'Assumptions'!$B$45+'Assumptions'!$C$41*C26/12</x:f>
        <x:v>6.866666666666667</x:v>
      </x:c>
      <x:c r="I26" s="76" t="n">
        <x:f>H26*'Assumptions'!$C$42</x:f>
        <x:v>4113.133333333333</x:v>
      </x:c>
      <x:c r="J26" s="75" t="n">
        <x:f>'Assumptions'!$B$43*'Assumptions'!$B$45+'Assumptions'!$C$43*C26/12</x:f>
        <x:v>0.8333333333333334</x:v>
      </x:c>
      <x:c r="K26" s="76" t="n">
        <x:f>J26*'Assumptions'!$C$44</x:f>
        <x:v>833.3333333333334</x:v>
      </x:c>
      <x:c r="L26" s="67" t="n">
        <x:f>'Assumptions'!$C$46</x:f>
        <x:v>0</x:v>
      </x:c>
      <x:c r="M26" s="76" t="n">
        <x:f>SUM(E26,G26,I26,K26)*L26</x:f>
        <x:v>0</x:v>
      </x:c>
      <x:c r="N26" s="75" t="n">
        <x:f>('Assumptions'!$C$37+'Assumptions'!$C$39+'Assumptions'!$C$41)/12</x:f>
        <x:v>4.166666666666667</x:v>
      </x:c>
      <x:c r="O26" s="76" t="n">
        <x:f>'Assumptions'!$C$47</x:f>
        <x:v>500</x:v>
      </x:c>
      <x:c r="P26" s="75" t="n">
        <x:f>'Assumptions'!$C$43/12</x:f>
        <x:v>0.08333333333333333</x:v>
      </x:c>
      <x:c r="Q26" s="76" t="n">
        <x:f>'Assumptions'!$C$48</x:f>
        <x:v>4000</x:v>
      </x:c>
      <x:c r="R26" s="76" t="n">
        <x:f>N26*O26+P26*Q26</x:f>
        <x:v>2416.666666666667</x:v>
      </x:c>
      <x:c r="S26" s="76" t="n">
        <x:f>SUM(E26,G26,I26,K26,M26,R26)</x:f>
        <x:v>18226.333333333336</x:v>
      </x:c>
      <x:c r="T26" s="76" t="n">
        <x:f>SUM(E26,G26,I26,K26)*'Assumptions'!$C$49+M26*'Assumptions'!$C$50+R26*'Assumptions'!$C$51</x:f>
        <x:v>6750.760000000001</x:v>
      </x:c>
      <x:c r="U26" s="76" t="n">
        <x:f>S26-T26</x:f>
        <x:v>11475.573333333334</x:v>
      </x:c>
    </x:row>
    <x:row r="27">
      <x:c r="A27" s="74" t="n">
        <x:v>47178</x:v>
      </x:c>
      <x:c r="B27" s="29" t="n">
        <x:v>2</x:v>
      </x:c>
      <x:c r="C27" s="29" t="n">
        <x:v>11</x:v>
      </x:c>
      <x:c r="D27" s="75" t="n">
        <x:f>'Assumptions'!$B$37*'Assumptions'!$B$45+'Assumptions'!$C$37*C27/12</x:f>
        <x:v>31.833333333333332</x:v>
      </x:c>
      <x:c r="E27" s="76" t="n">
        <x:f>D27*'Assumptions'!$C$38</x:f>
        <x:v>3151.5</x:v>
      </x:c>
      <x:c r="F27" s="75" t="n">
        <x:f>'Assumptions'!$B$39*'Assumptions'!$B$45+'Assumptions'!$C$39*C27/12</x:f>
        <x:v>33.71666666666667</x:v>
      </x:c>
      <x:c r="G27" s="76" t="n">
        <x:f>F27*'Assumptions'!$C$40</x:f>
        <x:v>8395.45</x:v>
      </x:c>
      <x:c r="H27" s="75" t="n">
        <x:f>'Assumptions'!$B$41*'Assumptions'!$B$45+'Assumptions'!$C$41*C27/12</x:f>
        <x:v>7.283333333333333</x:v>
      </x:c>
      <x:c r="I27" s="76" t="n">
        <x:f>H27*'Assumptions'!$C$42</x:f>
        <x:v>4362.716666666666</x:v>
      </x:c>
      <x:c r="J27" s="75" t="n">
        <x:f>'Assumptions'!$B$43*'Assumptions'!$B$45+'Assumptions'!$C$43*C27/12</x:f>
        <x:v>0.9166666666666666</x:v>
      </x:c>
      <x:c r="K27" s="76" t="n">
        <x:f>J27*'Assumptions'!$C$44</x:f>
        <x:v>916.6666666666666</x:v>
      </x:c>
      <x:c r="L27" s="67" t="n">
        <x:f>'Assumptions'!$C$46</x:f>
        <x:v>0</x:v>
      </x:c>
      <x:c r="M27" s="76" t="n">
        <x:f>SUM(E27,G27,I27,K27)*L27</x:f>
        <x:v>0</x:v>
      </x:c>
      <x:c r="N27" s="75" t="n">
        <x:f>('Assumptions'!$C$37+'Assumptions'!$C$39+'Assumptions'!$C$41)/12</x:f>
        <x:v>4.166666666666667</x:v>
      </x:c>
      <x:c r="O27" s="76" t="n">
        <x:f>'Assumptions'!$C$47</x:f>
        <x:v>500</x:v>
      </x:c>
      <x:c r="P27" s="75" t="n">
        <x:f>'Assumptions'!$C$43/12</x:f>
        <x:v>0.08333333333333333</x:v>
      </x:c>
      <x:c r="Q27" s="76" t="n">
        <x:f>'Assumptions'!$C$48</x:f>
        <x:v>4000</x:v>
      </x:c>
      <x:c r="R27" s="76" t="n">
        <x:f>N27*O27+P27*Q27</x:f>
        <x:v>2416.666666666667</x:v>
      </x:c>
      <x:c r="S27" s="76" t="n">
        <x:f>SUM(E27,G27,I27,K27,M27,R27)</x:f>
        <x:v>19243.000000000004</x:v>
      </x:c>
      <x:c r="T27" s="76" t="n">
        <x:f>SUM(E27,G27,I27,K27)*'Assumptions'!$C$49+M27*'Assumptions'!$C$50+R27*'Assumptions'!$C$51</x:f>
        <x:v>7076.093333333334</x:v>
      </x:c>
      <x:c r="U27" s="76" t="n">
        <x:f>S27-T27</x:f>
        <x:v>12166.90666666667</x:v>
      </x:c>
    </x:row>
    <x:row r="28">
      <x:c r="A28" s="74" t="n">
        <x:v>47209</x:v>
      </x:c>
      <x:c r="B28" s="29" t="n">
        <x:v>2</x:v>
      </x:c>
      <x:c r="C28" s="29" t="n">
        <x:v>12</x:v>
      </x:c>
      <x:c r="D28" s="75" t="n">
        <x:f>'Assumptions'!$B$37*'Assumptions'!$B$45+'Assumptions'!$C$37*C28/12</x:f>
        <x:v>33.5</x:v>
      </x:c>
      <x:c r="E28" s="76" t="n">
        <x:f>D28*'Assumptions'!$C$38</x:f>
        <x:v>3316.5</x:v>
      </x:c>
      <x:c r="F28" s="75" t="n">
        <x:f>'Assumptions'!$B$39*'Assumptions'!$B$45+'Assumptions'!$C$39*C28/12</x:f>
        <x:v>35.8</x:v>
      </x:c>
      <x:c r="G28" s="76" t="n">
        <x:f>F28*'Assumptions'!$C$40</x:f>
        <x:v>8914.199999999999</x:v>
      </x:c>
      <x:c r="H28" s="75" t="n">
        <x:f>'Assumptions'!$B$41*'Assumptions'!$B$45+'Assumptions'!$C$41*C28/12</x:f>
        <x:v>7.7</x:v>
      </x:c>
      <x:c r="I28" s="76" t="n">
        <x:f>H28*'Assumptions'!$C$42</x:f>
        <x:v>4612.3</x:v>
      </x:c>
      <x:c r="J28" s="75" t="n">
        <x:f>'Assumptions'!$B$43*'Assumptions'!$B$45+'Assumptions'!$C$43*C28/12</x:f>
        <x:v>1</x:v>
      </x:c>
      <x:c r="K28" s="76" t="n">
        <x:f>J28*'Assumptions'!$C$44</x:f>
        <x:v>1000</x:v>
      </x:c>
      <x:c r="L28" s="67" t="n">
        <x:f>'Assumptions'!$C$46</x:f>
        <x:v>0</x:v>
      </x:c>
      <x:c r="M28" s="76" t="n">
        <x:f>SUM(E28,G28,I28,K28)*L28</x:f>
        <x:v>0</x:v>
      </x:c>
      <x:c r="N28" s="75" t="n">
        <x:f>('Assumptions'!$C$37+'Assumptions'!$C$39+'Assumptions'!$C$41)/12</x:f>
        <x:v>4.166666666666667</x:v>
      </x:c>
      <x:c r="O28" s="76" t="n">
        <x:f>'Assumptions'!$C$47</x:f>
        <x:v>500</x:v>
      </x:c>
      <x:c r="P28" s="75" t="n">
        <x:f>'Assumptions'!$C$43/12</x:f>
        <x:v>0.08333333333333333</x:v>
      </x:c>
      <x:c r="Q28" s="76" t="n">
        <x:f>'Assumptions'!$C$48</x:f>
        <x:v>4000</x:v>
      </x:c>
      <x:c r="R28" s="76" t="n">
        <x:f>N28*O28+P28*Q28</x:f>
        <x:v>2416.666666666667</x:v>
      </x:c>
      <x:c r="S28" s="76" t="n">
        <x:f>SUM(E28,G28,I28,K28,M28,R28)</x:f>
        <x:v>20259.666666666668</x:v>
      </x:c>
      <x:c r="T28" s="76" t="n">
        <x:f>SUM(E28,G28,I28,K28)*'Assumptions'!$C$49+M28*'Assumptions'!$C$50+R28*'Assumptions'!$C$51</x:f>
        <x:v>7401.426666666667</x:v>
      </x:c>
      <x:c r="U28" s="76" t="n">
        <x:f>S28-T28</x:f>
        <x:v>12858.240000000002</x:v>
      </x:c>
    </x:row>
    <x:row r="29">
      <x:c r="A29" s="74" t="n">
        <x:v>47239</x:v>
      </x:c>
      <x:c r="B29" s="29" t="n">
        <x:v>3</x:v>
      </x:c>
      <x:c r="C29" s="29" t="n">
        <x:v>1</x:v>
      </x:c>
      <x:c r="D29" s="75" t="n">
        <x:f>'Assumptions'!$B$37*'Assumptions'!$B$45^2+'Assumptions'!$C$37*'Assumptions'!$C$45+'Assumptions'!$D$37*C29/12</x:f>
        <x:v>32.65</x:v>
      </x:c>
      <x:c r="E29" s="76" t="n">
        <x:f>D29*'Assumptions'!$D$38</x:f>
        <x:v>3232.35</x:v>
      </x:c>
      <x:c r="F29" s="75" t="n">
        <x:f>'Assumptions'!$B$39*'Assumptions'!$B$45^2+'Assumptions'!$C$39*'Assumptions'!$C$45+'Assumptions'!$D$39*C29/12</x:f>
        <x:v>37.22</x:v>
      </x:c>
      <x:c r="G29" s="76" t="n">
        <x:f>F29*'Assumptions'!$D$40</x:f>
        <x:v>9267.779999999999</x:v>
      </x:c>
      <x:c r="H29" s="75" t="n">
        <x:f>'Assumptions'!$B$41*'Assumptions'!$B$45^2+'Assumptions'!$C$41*'Assumptions'!$C$45+'Assumptions'!$D$41*C29/12</x:f>
        <x:v>7.93</x:v>
      </x:c>
      <x:c r="I29" s="76" t="n">
        <x:f>H29*'Assumptions'!$D$42</x:f>
        <x:v>4750.07</x:v>
      </x:c>
      <x:c r="J29" s="75" t="n">
        <x:f>'Assumptions'!$B$43*'Assumptions'!$B$45^2+'Assumptions'!$C$43*'Assumptions'!$C$45+'Assumptions'!$D$43*C29/12</x:f>
        <x:v>1.0666666666666667</x:v>
      </x:c>
      <x:c r="K29" s="76" t="n">
        <x:f>J29*'Assumptions'!$D$44</x:f>
        <x:v>1066.6666666666667</x:v>
      </x:c>
      <x:c r="L29" s="67" t="n">
        <x:f>'Assumptions'!$D$46</x:f>
        <x:v>0.03</x:v>
      </x:c>
      <x:c r="M29" s="76" t="n">
        <x:f>SUM(E29,G29,I29,K29)*L29</x:f>
        <x:v>549.506</x:v>
      </x:c>
      <x:c r="N29" s="75" t="n">
        <x:f>('Assumptions'!$D$37+'Assumptions'!$D$39+'Assumptions'!$D$41)/12</x:f>
        <x:v>8.5</x:v>
      </x:c>
      <x:c r="O29" s="76" t="n">
        <x:f>'Assumptions'!$D$47</x:f>
        <x:v>400</x:v>
      </x:c>
      <x:c r="P29" s="75" t="n">
        <x:f>'Assumptions'!$D$43/12</x:f>
        <x:v>0.16666666666666666</x:v>
      </x:c>
      <x:c r="Q29" s="76" t="n">
        <x:f>'Assumptions'!$D$48</x:f>
        <x:v>5000</x:v>
      </x:c>
      <x:c r="R29" s="76" t="n">
        <x:f>N29*O29+P29*Q29</x:f>
        <x:v>4233.333333333333</x:v>
      </x:c>
      <x:c r="S29" s="76" t="n">
        <x:f>SUM(E29,G29,I29,K29,M29,R29)</x:f>
        <x:v>23099.706</x:v>
      </x:c>
      <x:c r="T29" s="76" t="n">
        <x:f>SUM(E29,G29,I29,K29)*'Assumptions'!$D$49+M29*'Assumptions'!$D$50+R29*'Assumptions'!$D$51</x:f>
        <x:v>8678.195733333332</x:v>
      </x:c>
      <x:c r="U29" s="76" t="n">
        <x:f>S29-T29</x:f>
        <x:v>14421.510266666666</x:v>
      </x:c>
    </x:row>
    <x:row r="30">
      <x:c r="A30" s="74" t="n">
        <x:v>47270</x:v>
      </x:c>
      <x:c r="B30" s="29" t="n">
        <x:v>3</x:v>
      </x:c>
      <x:c r="C30" s="29" t="n">
        <x:v>2</x:v>
      </x:c>
      <x:c r="D30" s="75" t="n">
        <x:f>'Assumptions'!$B$37*'Assumptions'!$B$45^2+'Assumptions'!$C$37*'Assumptions'!$C$45+'Assumptions'!$D$37*C30/12</x:f>
        <x:v>35.15</x:v>
      </x:c>
      <x:c r="E30" s="76" t="n">
        <x:f>D30*'Assumptions'!$D$38</x:f>
        <x:v>3479.85</x:v>
      </x:c>
      <x:c r="F30" s="75" t="n">
        <x:f>'Assumptions'!$B$39*'Assumptions'!$B$45^2+'Assumptions'!$C$39*'Assumptions'!$C$45+'Assumptions'!$D$39*C30/12</x:f>
        <x:v>42.22</x:v>
      </x:c>
      <x:c r="G30" s="76" t="n">
        <x:f>F30*'Assumptions'!$D$40</x:f>
        <x:v>10512.779999999999</x:v>
      </x:c>
      <x:c r="H30" s="75" t="n">
        <x:f>'Assumptions'!$B$41*'Assumptions'!$B$45^2+'Assumptions'!$C$41*'Assumptions'!$C$45+'Assumptions'!$D$41*C30/12</x:f>
        <x:v>8.93</x:v>
      </x:c>
      <x:c r="I30" s="76" t="n">
        <x:f>H30*'Assumptions'!$D$42</x:f>
        <x:v>5349.07</x:v>
      </x:c>
      <x:c r="J30" s="75" t="n">
        <x:f>'Assumptions'!$B$43*'Assumptions'!$B$45^2+'Assumptions'!$C$43*'Assumptions'!$C$45+'Assumptions'!$D$43*C30/12</x:f>
        <x:v>1.2333333333333334</x:v>
      </x:c>
      <x:c r="K30" s="76" t="n">
        <x:f>J30*'Assumptions'!$D$44</x:f>
        <x:v>1233.3333333333335</x:v>
      </x:c>
      <x:c r="L30" s="67" t="n">
        <x:f>'Assumptions'!$D$46</x:f>
        <x:v>0.03</x:v>
      </x:c>
      <x:c r="M30" s="76" t="n">
        <x:f>SUM(E30,G30,I30,K30)*L30</x:f>
        <x:v>617.2509999999999</x:v>
      </x:c>
      <x:c r="N30" s="75" t="n">
        <x:f>('Assumptions'!$D$37+'Assumptions'!$D$39+'Assumptions'!$D$41)/12</x:f>
        <x:v>8.5</x:v>
      </x:c>
      <x:c r="O30" s="76" t="n">
        <x:f>'Assumptions'!$D$47</x:f>
        <x:v>400</x:v>
      </x:c>
      <x:c r="P30" s="75" t="n">
        <x:f>'Assumptions'!$D$43/12</x:f>
        <x:v>0.16666666666666666</x:v>
      </x:c>
      <x:c r="Q30" s="76" t="n">
        <x:f>'Assumptions'!$D$48</x:f>
        <x:v>5000</x:v>
      </x:c>
      <x:c r="R30" s="76" t="n">
        <x:f>N30*O30+P30*Q30</x:f>
        <x:v>4233.333333333333</x:v>
      </x:c>
      <x:c r="S30" s="76" t="n">
        <x:f>SUM(E30,G30,I30,K30,M30,R30)</x:f>
        <x:v>25425.61766666666</x:v>
      </x:c>
      <x:c r="T30" s="76" t="n">
        <x:f>SUM(E30,G30,I30,K30)*'Assumptions'!$D$49+M30*'Assumptions'!$D$50+R30*'Assumptions'!$D$51</x:f>
        <x:v>9382.743733333331</x:v>
      </x:c>
      <x:c r="U30" s="76" t="n">
        <x:f>S30-T30</x:f>
        <x:v>16042.87393333333</x:v>
      </x:c>
    </x:row>
    <x:row r="31">
      <x:c r="A31" s="74" t="n">
        <x:v>47300</x:v>
      </x:c>
      <x:c r="B31" s="29" t="n">
        <x:v>3</x:v>
      </x:c>
      <x:c r="C31" s="29" t="n">
        <x:v>3</x:v>
      </x:c>
      <x:c r="D31" s="75" t="n">
        <x:f>'Assumptions'!$B$37*'Assumptions'!$B$45^2+'Assumptions'!$C$37*'Assumptions'!$C$45+'Assumptions'!$D$37*C31/12</x:f>
        <x:v>37.65</x:v>
      </x:c>
      <x:c r="E31" s="76" t="n">
        <x:f>D31*'Assumptions'!$D$38</x:f>
        <x:v>3727.35</x:v>
      </x:c>
      <x:c r="F31" s="75" t="n">
        <x:f>'Assumptions'!$B$39*'Assumptions'!$B$45^2+'Assumptions'!$C$39*'Assumptions'!$C$45+'Assumptions'!$D$39*C31/12</x:f>
        <x:v>47.22</x:v>
      </x:c>
      <x:c r="G31" s="76" t="n">
        <x:f>F31*'Assumptions'!$D$40</x:f>
        <x:v>11757.779999999999</x:v>
      </x:c>
      <x:c r="H31" s="75" t="n">
        <x:f>'Assumptions'!$B$41*'Assumptions'!$B$45^2+'Assumptions'!$C$41*'Assumptions'!$C$45+'Assumptions'!$D$41*C31/12</x:f>
        <x:v>9.93</x:v>
      </x:c>
      <x:c r="I31" s="76" t="n">
        <x:f>H31*'Assumptions'!$D$42</x:f>
        <x:v>5948.07</x:v>
      </x:c>
      <x:c r="J31" s="75" t="n">
        <x:f>'Assumptions'!$B$43*'Assumptions'!$B$45^2+'Assumptions'!$C$43*'Assumptions'!$C$45+'Assumptions'!$D$43*C31/12</x:f>
        <x:v>1.4</x:v>
      </x:c>
      <x:c r="K31" s="76" t="n">
        <x:f>J31*'Assumptions'!$D$44</x:f>
        <x:v>1400</x:v>
      </x:c>
      <x:c r="L31" s="67" t="n">
        <x:f>'Assumptions'!$D$46</x:f>
        <x:v>0.03</x:v>
      </x:c>
      <x:c r="M31" s="76" t="n">
        <x:f>SUM(E31,G31,I31,K31)*L31</x:f>
        <x:v>684.9959999999999</x:v>
      </x:c>
      <x:c r="N31" s="75" t="n">
        <x:f>('Assumptions'!$D$37+'Assumptions'!$D$39+'Assumptions'!$D$41)/12</x:f>
        <x:v>8.5</x:v>
      </x:c>
      <x:c r="O31" s="76" t="n">
        <x:f>'Assumptions'!$D$47</x:f>
        <x:v>400</x:v>
      </x:c>
      <x:c r="P31" s="75" t="n">
        <x:f>'Assumptions'!$D$43/12</x:f>
        <x:v>0.16666666666666666</x:v>
      </x:c>
      <x:c r="Q31" s="76" t="n">
        <x:f>'Assumptions'!$D$48</x:f>
        <x:v>5000</x:v>
      </x:c>
      <x:c r="R31" s="76" t="n">
        <x:f>N31*O31+P31*Q31</x:f>
        <x:v>4233.333333333333</x:v>
      </x:c>
      <x:c r="S31" s="76" t="n">
        <x:f>SUM(E31,G31,I31,K31,M31,R31)</x:f>
        <x:v>27751.52933333333</x:v>
      </x:c>
      <x:c r="T31" s="76" t="n">
        <x:f>SUM(E31,G31,I31,K31)*'Assumptions'!$D$49+M31*'Assumptions'!$D$50+R31*'Assumptions'!$D$51</x:f>
        <x:v>10087.291733333332</x:v>
      </x:c>
      <x:c r="U31" s="76" t="n">
        <x:f>S31-T31</x:f>
        <x:v>17664.237599999997</x:v>
      </x:c>
    </x:row>
    <x:row r="32">
      <x:c r="A32" s="74" t="n">
        <x:v>47331</x:v>
      </x:c>
      <x:c r="B32" s="29" t="n">
        <x:v>3</x:v>
      </x:c>
      <x:c r="C32" s="29" t="n">
        <x:v>4</x:v>
      </x:c>
      <x:c r="D32" s="75" t="n">
        <x:f>'Assumptions'!$B$37*'Assumptions'!$B$45^2+'Assumptions'!$C$37*'Assumptions'!$C$45+'Assumptions'!$D$37*C32/12</x:f>
        <x:v>40.15</x:v>
      </x:c>
      <x:c r="E32" s="76" t="n">
        <x:f>D32*'Assumptions'!$D$38</x:f>
        <x:v>3974.85</x:v>
      </x:c>
      <x:c r="F32" s="75" t="n">
        <x:f>'Assumptions'!$B$39*'Assumptions'!$B$45^2+'Assumptions'!$C$39*'Assumptions'!$C$45+'Assumptions'!$D$39*C32/12</x:f>
        <x:v>52.22</x:v>
      </x:c>
      <x:c r="G32" s="76" t="n">
        <x:f>F32*'Assumptions'!$D$40</x:f>
        <x:v>13002.779999999999</x:v>
      </x:c>
      <x:c r="H32" s="75" t="n">
        <x:f>'Assumptions'!$B$41*'Assumptions'!$B$45^2+'Assumptions'!$C$41*'Assumptions'!$C$45+'Assumptions'!$D$41*C32/12</x:f>
        <x:v>10.93</x:v>
      </x:c>
      <x:c r="I32" s="76" t="n">
        <x:f>H32*'Assumptions'!$D$42</x:f>
        <x:v>6547.07</x:v>
      </x:c>
      <x:c r="J32" s="75" t="n">
        <x:f>'Assumptions'!$B$43*'Assumptions'!$B$45^2+'Assumptions'!$C$43*'Assumptions'!$C$45+'Assumptions'!$D$43*C32/12</x:f>
        <x:v>1.5666666666666667</x:v>
      </x:c>
      <x:c r="K32" s="76" t="n">
        <x:f>J32*'Assumptions'!$D$44</x:f>
        <x:v>1566.6666666666667</x:v>
      </x:c>
      <x:c r="L32" s="67" t="n">
        <x:f>'Assumptions'!$D$46</x:f>
        <x:v>0.03</x:v>
      </x:c>
      <x:c r="M32" s="76" t="n">
        <x:f>SUM(E32,G32,I32,K32)*L32</x:f>
        <x:v>752.7409999999999</x:v>
      </x:c>
      <x:c r="N32" s="75" t="n">
        <x:f>('Assumptions'!$D$37+'Assumptions'!$D$39+'Assumptions'!$D$41)/12</x:f>
        <x:v>8.5</x:v>
      </x:c>
      <x:c r="O32" s="76" t="n">
        <x:f>'Assumptions'!$D$47</x:f>
        <x:v>400</x:v>
      </x:c>
      <x:c r="P32" s="75" t="n">
        <x:f>'Assumptions'!$D$43/12</x:f>
        <x:v>0.16666666666666666</x:v>
      </x:c>
      <x:c r="Q32" s="76" t="n">
        <x:f>'Assumptions'!$D$48</x:f>
        <x:v>5000</x:v>
      </x:c>
      <x:c r="R32" s="76" t="n">
        <x:f>N32*O32+P32*Q32</x:f>
        <x:v>4233.333333333333</x:v>
      </x:c>
      <x:c r="S32" s="76" t="n">
        <x:f>SUM(E32,G32,I32,K32,M32,R32)</x:f>
        <x:v>30077.440999999995</x:v>
      </x:c>
      <x:c r="T32" s="76" t="n">
        <x:f>SUM(E32,G32,I32,K32)*'Assumptions'!$D$49+M32*'Assumptions'!$D$50+R32*'Assumptions'!$D$51</x:f>
        <x:v>10791.839733333332</x:v>
      </x:c>
      <x:c r="U32" s="76" t="n">
        <x:f>S32-T32</x:f>
        <x:v>19285.601266666665</x:v>
      </x:c>
    </x:row>
    <x:row r="33">
      <x:c r="A33" s="74" t="n">
        <x:v>47362</x:v>
      </x:c>
      <x:c r="B33" s="29" t="n">
        <x:v>3</x:v>
      </x:c>
      <x:c r="C33" s="29" t="n">
        <x:v>5</x:v>
      </x:c>
      <x:c r="D33" s="75" t="n">
        <x:f>'Assumptions'!$B$37*'Assumptions'!$B$45^2+'Assumptions'!$C$37*'Assumptions'!$C$45+'Assumptions'!$D$37*C33/12</x:f>
        <x:v>42.65</x:v>
      </x:c>
      <x:c r="E33" s="76" t="n">
        <x:f>D33*'Assumptions'!$D$38</x:f>
        <x:v>4222.349999999999</x:v>
      </x:c>
      <x:c r="F33" s="75" t="n">
        <x:f>'Assumptions'!$B$39*'Assumptions'!$B$45^2+'Assumptions'!$C$39*'Assumptions'!$C$45+'Assumptions'!$D$39*C33/12</x:f>
        <x:v>57.22</x:v>
      </x:c>
      <x:c r="G33" s="76" t="n">
        <x:f>F33*'Assumptions'!$D$40</x:f>
        <x:v>14247.779999999999</x:v>
      </x:c>
      <x:c r="H33" s="75" t="n">
        <x:f>'Assumptions'!$B$41*'Assumptions'!$B$45^2+'Assumptions'!$C$41*'Assumptions'!$C$45+'Assumptions'!$D$41*C33/12</x:f>
        <x:v>11.93</x:v>
      </x:c>
      <x:c r="I33" s="76" t="n">
        <x:f>H33*'Assumptions'!$D$42</x:f>
        <x:v>7146.07</x:v>
      </x:c>
      <x:c r="J33" s="75" t="n">
        <x:f>'Assumptions'!$B$43*'Assumptions'!$B$45^2+'Assumptions'!$C$43*'Assumptions'!$C$45+'Assumptions'!$D$43*C33/12</x:f>
        <x:v>1.7333333333333334</x:v>
      </x:c>
      <x:c r="K33" s="76" t="n">
        <x:f>J33*'Assumptions'!$D$44</x:f>
        <x:v>1733.3333333333335</x:v>
      </x:c>
      <x:c r="L33" s="67" t="n">
        <x:f>'Assumptions'!$D$46</x:f>
        <x:v>0.03</x:v>
      </x:c>
      <x:c r="M33" s="76" t="n">
        <x:f>SUM(E33,G33,I33,K33)*L33</x:f>
        <x:v>820.4859999999999</x:v>
      </x:c>
      <x:c r="N33" s="75" t="n">
        <x:f>('Assumptions'!$D$37+'Assumptions'!$D$39+'Assumptions'!$D$41)/12</x:f>
        <x:v>8.5</x:v>
      </x:c>
      <x:c r="O33" s="76" t="n">
        <x:f>'Assumptions'!$D$47</x:f>
        <x:v>400</x:v>
      </x:c>
      <x:c r="P33" s="75" t="n">
        <x:f>'Assumptions'!$D$43/12</x:f>
        <x:v>0.16666666666666666</x:v>
      </x:c>
      <x:c r="Q33" s="76" t="n">
        <x:f>'Assumptions'!$D$48</x:f>
        <x:v>5000</x:v>
      </x:c>
      <x:c r="R33" s="76" t="n">
        <x:f>N33*O33+P33*Q33</x:f>
        <x:v>4233.333333333333</x:v>
      </x:c>
      <x:c r="S33" s="76" t="n">
        <x:f>SUM(E33,G33,I33,K33,M33,R33)</x:f>
        <x:v>32403.352666666662</x:v>
      </x:c>
      <x:c r="T33" s="76" t="n">
        <x:f>SUM(E33,G33,I33,K33)*'Assumptions'!$D$49+M33*'Assumptions'!$D$50+R33*'Assumptions'!$D$51</x:f>
        <x:v>11496.387733333333</x:v>
      </x:c>
      <x:c r="U33" s="76" t="n">
        <x:f>S33-T33</x:f>
        <x:v>20906.96493333333</x:v>
      </x:c>
    </x:row>
    <x:row r="34">
      <x:c r="A34" s="74" t="n">
        <x:v>47392</x:v>
      </x:c>
      <x:c r="B34" s="29" t="n">
        <x:v>3</x:v>
      </x:c>
      <x:c r="C34" s="29" t="n">
        <x:v>6</x:v>
      </x:c>
      <x:c r="D34" s="75" t="n">
        <x:f>'Assumptions'!$B$37*'Assumptions'!$B$45^2+'Assumptions'!$C$37*'Assumptions'!$C$45+'Assumptions'!$D$37*C34/12</x:f>
        <x:v>45.15</x:v>
      </x:c>
      <x:c r="E34" s="76" t="n">
        <x:f>D34*'Assumptions'!$D$38</x:f>
        <x:v>4469.849999999999</x:v>
      </x:c>
      <x:c r="F34" s="75" t="n">
        <x:f>'Assumptions'!$B$39*'Assumptions'!$B$45^2+'Assumptions'!$C$39*'Assumptions'!$C$45+'Assumptions'!$D$39*C34/12</x:f>
        <x:v>62.22</x:v>
      </x:c>
      <x:c r="G34" s="76" t="n">
        <x:f>F34*'Assumptions'!$D$40</x:f>
        <x:v>15492.779999999999</x:v>
      </x:c>
      <x:c r="H34" s="75" t="n">
        <x:f>'Assumptions'!$B$41*'Assumptions'!$B$45^2+'Assumptions'!$C$41*'Assumptions'!$C$45+'Assumptions'!$D$41*C34/12</x:f>
        <x:v>12.93</x:v>
      </x:c>
      <x:c r="I34" s="76" t="n">
        <x:f>H34*'Assumptions'!$D$42</x:f>
        <x:v>7745.07</x:v>
      </x:c>
      <x:c r="J34" s="75" t="n">
        <x:f>'Assumptions'!$B$43*'Assumptions'!$B$45^2+'Assumptions'!$C$43*'Assumptions'!$C$45+'Assumptions'!$D$43*C34/12</x:f>
        <x:v>1.9</x:v>
      </x:c>
      <x:c r="K34" s="76" t="n">
        <x:f>J34*'Assumptions'!$D$44</x:f>
        <x:v>1900</x:v>
      </x:c>
      <x:c r="L34" s="67" t="n">
        <x:f>'Assumptions'!$D$46</x:f>
        <x:v>0.03</x:v>
      </x:c>
      <x:c r="M34" s="76" t="n">
        <x:f>SUM(E34,G34,I34,K34)*L34</x:f>
        <x:v>888.2309999999999</x:v>
      </x:c>
      <x:c r="N34" s="75" t="n">
        <x:f>('Assumptions'!$D$37+'Assumptions'!$D$39+'Assumptions'!$D$41)/12</x:f>
        <x:v>8.5</x:v>
      </x:c>
      <x:c r="O34" s="76" t="n">
        <x:f>'Assumptions'!$D$47</x:f>
        <x:v>400</x:v>
      </x:c>
      <x:c r="P34" s="75" t="n">
        <x:f>'Assumptions'!$D$43/12</x:f>
        <x:v>0.16666666666666666</x:v>
      </x:c>
      <x:c r="Q34" s="76" t="n">
        <x:f>'Assumptions'!$D$48</x:f>
        <x:v>5000</x:v>
      </x:c>
      <x:c r="R34" s="76" t="n">
        <x:f>N34*O34+P34*Q34</x:f>
        <x:v>4233.333333333333</x:v>
      </x:c>
      <x:c r="S34" s="76" t="n">
        <x:f>SUM(E34,G34,I34,K34,M34,R34)</x:f>
        <x:v>34729.26433333333</x:v>
      </x:c>
      <x:c r="T34" s="76" t="n">
        <x:f>SUM(E34,G34,I34,K34)*'Assumptions'!$D$49+M34*'Assumptions'!$D$50+R34*'Assumptions'!$D$51</x:f>
        <x:v>12200.935733333332</x:v>
      </x:c>
      <x:c r="U34" s="76" t="n">
        <x:f>S34-T34</x:f>
        <x:v>22528.3286</x:v>
      </x:c>
    </x:row>
    <x:row r="35">
      <x:c r="A35" s="74" t="n">
        <x:v>47423</x:v>
      </x:c>
      <x:c r="B35" s="29" t="n">
        <x:v>3</x:v>
      </x:c>
      <x:c r="C35" s="29" t="n">
        <x:v>7</x:v>
      </x:c>
      <x:c r="D35" s="75" t="n">
        <x:f>'Assumptions'!$B$37*'Assumptions'!$B$45^2+'Assumptions'!$C$37*'Assumptions'!$C$45+'Assumptions'!$D$37*C35/12</x:f>
        <x:v>47.65</x:v>
      </x:c>
      <x:c r="E35" s="76" t="n">
        <x:f>D35*'Assumptions'!$D$38</x:f>
        <x:v>4717.349999999999</x:v>
      </x:c>
      <x:c r="F35" s="75" t="n">
        <x:f>'Assumptions'!$B$39*'Assumptions'!$B$45^2+'Assumptions'!$C$39*'Assumptions'!$C$45+'Assumptions'!$D$39*C35/12</x:f>
        <x:v>67.22</x:v>
      </x:c>
      <x:c r="G35" s="76" t="n">
        <x:f>F35*'Assumptions'!$D$40</x:f>
        <x:v>16737.78</x:v>
      </x:c>
      <x:c r="H35" s="75" t="n">
        <x:f>'Assumptions'!$B$41*'Assumptions'!$B$45^2+'Assumptions'!$C$41*'Assumptions'!$C$45+'Assumptions'!$D$41*C35/12</x:f>
        <x:v>13.93</x:v>
      </x:c>
      <x:c r="I35" s="76" t="n">
        <x:f>H35*'Assumptions'!$D$42</x:f>
        <x:v>8344.07</x:v>
      </x:c>
      <x:c r="J35" s="75" t="n">
        <x:f>'Assumptions'!$B$43*'Assumptions'!$B$45^2+'Assumptions'!$C$43*'Assumptions'!$C$45+'Assumptions'!$D$43*C35/12</x:f>
        <x:v>2.066666666666667</x:v>
      </x:c>
      <x:c r="K35" s="76" t="n">
        <x:f>J35*'Assumptions'!$D$44</x:f>
        <x:v>2066.666666666667</x:v>
      </x:c>
      <x:c r="L35" s="67" t="n">
        <x:f>'Assumptions'!$D$46</x:f>
        <x:v>0.03</x:v>
      </x:c>
      <x:c r="M35" s="76" t="n">
        <x:f>SUM(E35,G35,I35,K35)*L35</x:f>
        <x:v>955.9759999999999</x:v>
      </x:c>
      <x:c r="N35" s="75" t="n">
        <x:f>('Assumptions'!$D$37+'Assumptions'!$D$39+'Assumptions'!$D$41)/12</x:f>
        <x:v>8.5</x:v>
      </x:c>
      <x:c r="O35" s="76" t="n">
        <x:f>'Assumptions'!$D$47</x:f>
        <x:v>400</x:v>
      </x:c>
      <x:c r="P35" s="75" t="n">
        <x:f>'Assumptions'!$D$43/12</x:f>
        <x:v>0.16666666666666666</x:v>
      </x:c>
      <x:c r="Q35" s="76" t="n">
        <x:f>'Assumptions'!$D$48</x:f>
        <x:v>5000</x:v>
      </x:c>
      <x:c r="R35" s="76" t="n">
        <x:f>N35*O35+P35*Q35</x:f>
        <x:v>4233.333333333333</x:v>
      </x:c>
      <x:c r="S35" s="76" t="n">
        <x:f>SUM(E35,G35,I35,K35,M35,R35)</x:f>
        <x:v>37055.176</x:v>
      </x:c>
      <x:c r="T35" s="76" t="n">
        <x:f>SUM(E35,G35,I35,K35)*'Assumptions'!$D$49+M35*'Assumptions'!$D$50+R35*'Assumptions'!$D$51</x:f>
        <x:v>12905.48373333333</x:v>
      </x:c>
      <x:c r="U35" s="76" t="n">
        <x:f>S35-T35</x:f>
        <x:v>24149.69226666667</x:v>
      </x:c>
    </x:row>
    <x:row r="36">
      <x:c r="A36" s="74" t="n">
        <x:v>47453</x:v>
      </x:c>
      <x:c r="B36" s="29" t="n">
        <x:v>3</x:v>
      </x:c>
      <x:c r="C36" s="29" t="n">
        <x:v>8</x:v>
      </x:c>
      <x:c r="D36" s="75" t="n">
        <x:f>'Assumptions'!$B$37*'Assumptions'!$B$45^2+'Assumptions'!$C$37*'Assumptions'!$C$45+'Assumptions'!$D$37*C36/12</x:f>
        <x:v>50.15</x:v>
      </x:c>
      <x:c r="E36" s="76" t="n">
        <x:f>D36*'Assumptions'!$D$38</x:f>
        <x:v>4964.849999999999</x:v>
      </x:c>
      <x:c r="F36" s="75" t="n">
        <x:f>'Assumptions'!$B$39*'Assumptions'!$B$45^2+'Assumptions'!$C$39*'Assumptions'!$C$45+'Assumptions'!$D$39*C36/12</x:f>
        <x:v>72.22</x:v>
      </x:c>
      <x:c r="G36" s="76" t="n">
        <x:f>F36*'Assumptions'!$D$40</x:f>
        <x:v>17982.78</x:v>
      </x:c>
      <x:c r="H36" s="75" t="n">
        <x:f>'Assumptions'!$B$41*'Assumptions'!$B$45^2+'Assumptions'!$C$41*'Assumptions'!$C$45+'Assumptions'!$D$41*C36/12</x:f>
        <x:v>14.93</x:v>
      </x:c>
      <x:c r="I36" s="76" t="n">
        <x:f>H36*'Assumptions'!$D$42</x:f>
        <x:v>8943.07</x:v>
      </x:c>
      <x:c r="J36" s="75" t="n">
        <x:f>'Assumptions'!$B$43*'Assumptions'!$B$45^2+'Assumptions'!$C$43*'Assumptions'!$C$45+'Assumptions'!$D$43*C36/12</x:f>
        <x:v>2.2333333333333334</x:v>
      </x:c>
      <x:c r="K36" s="76" t="n">
        <x:f>J36*'Assumptions'!$D$44</x:f>
        <x:v>2233.3333333333335</x:v>
      </x:c>
      <x:c r="L36" s="67" t="n">
        <x:f>'Assumptions'!$D$46</x:f>
        <x:v>0.03</x:v>
      </x:c>
      <x:c r="M36" s="76" t="n">
        <x:f>SUM(E36,G36,I36,K36)*L36</x:f>
        <x:v>1023.721</x:v>
      </x:c>
      <x:c r="N36" s="75" t="n">
        <x:f>('Assumptions'!$D$37+'Assumptions'!$D$39+'Assumptions'!$D$41)/12</x:f>
        <x:v>8.5</x:v>
      </x:c>
      <x:c r="O36" s="76" t="n">
        <x:f>'Assumptions'!$D$47</x:f>
        <x:v>400</x:v>
      </x:c>
      <x:c r="P36" s="75" t="n">
        <x:f>'Assumptions'!$D$43/12</x:f>
        <x:v>0.16666666666666666</x:v>
      </x:c>
      <x:c r="Q36" s="76" t="n">
        <x:f>'Assumptions'!$D$48</x:f>
        <x:v>5000</x:v>
      </x:c>
      <x:c r="R36" s="76" t="n">
        <x:f>N36*O36+P36*Q36</x:f>
        <x:v>4233.333333333333</x:v>
      </x:c>
      <x:c r="S36" s="76" t="n">
        <x:f>SUM(E36,G36,I36,K36,M36,R36)</x:f>
        <x:v>39381.087666666666</x:v>
      </x:c>
      <x:c r="T36" s="76" t="n">
        <x:f>SUM(E36,G36,I36,K36)*'Assumptions'!$D$49+M36*'Assumptions'!$D$50+R36*'Assumptions'!$D$51</x:f>
        <x:v>13610.031733333333</x:v>
      </x:c>
      <x:c r="U36" s="76" t="n">
        <x:f>S36-T36</x:f>
        <x:v>25771.055933333333</x:v>
      </x:c>
    </x:row>
    <x:row r="37">
      <x:c r="A37" s="74" t="n">
        <x:v>47484</x:v>
      </x:c>
      <x:c r="B37" s="29" t="n">
        <x:v>3</x:v>
      </x:c>
      <x:c r="C37" s="29" t="n">
        <x:v>9</x:v>
      </x:c>
      <x:c r="D37" s="75" t="n">
        <x:f>'Assumptions'!$B$37*'Assumptions'!$B$45^2+'Assumptions'!$C$37*'Assumptions'!$C$45+'Assumptions'!$D$37*C37/12</x:f>
        <x:v>52.65</x:v>
      </x:c>
      <x:c r="E37" s="76" t="n">
        <x:f>D37*'Assumptions'!$D$38</x:f>
        <x:v>5212.349999999999</x:v>
      </x:c>
      <x:c r="F37" s="75" t="n">
        <x:f>'Assumptions'!$B$39*'Assumptions'!$B$45^2+'Assumptions'!$C$39*'Assumptions'!$C$45+'Assumptions'!$D$39*C37/12</x:f>
        <x:v>77.22</x:v>
      </x:c>
      <x:c r="G37" s="76" t="n">
        <x:f>F37*'Assumptions'!$D$40</x:f>
        <x:v>19227.78</x:v>
      </x:c>
      <x:c r="H37" s="75" t="n">
        <x:f>'Assumptions'!$B$41*'Assumptions'!$B$45^2+'Assumptions'!$C$41*'Assumptions'!$C$45+'Assumptions'!$D$41*C37/12</x:f>
        <x:v>15.93</x:v>
      </x:c>
      <x:c r="I37" s="76" t="n">
        <x:f>H37*'Assumptions'!$D$42</x:f>
        <x:v>9542.07</x:v>
      </x:c>
      <x:c r="J37" s="75" t="n">
        <x:f>'Assumptions'!$B$43*'Assumptions'!$B$45^2+'Assumptions'!$C$43*'Assumptions'!$C$45+'Assumptions'!$D$43*C37/12</x:f>
        <x:v>2.4</x:v>
      </x:c>
      <x:c r="K37" s="76" t="n">
        <x:f>J37*'Assumptions'!$D$44</x:f>
        <x:v>2400</x:v>
      </x:c>
      <x:c r="L37" s="67" t="n">
        <x:f>'Assumptions'!$D$46</x:f>
        <x:v>0.03</x:v>
      </x:c>
      <x:c r="M37" s="76" t="n">
        <x:f>SUM(E37,G37,I37,K37)*L37</x:f>
        <x:v>1091.466</x:v>
      </x:c>
      <x:c r="N37" s="75" t="n">
        <x:f>('Assumptions'!$D$37+'Assumptions'!$D$39+'Assumptions'!$D$41)/12</x:f>
        <x:v>8.5</x:v>
      </x:c>
      <x:c r="O37" s="76" t="n">
        <x:f>'Assumptions'!$D$47</x:f>
        <x:v>400</x:v>
      </x:c>
      <x:c r="P37" s="75" t="n">
        <x:f>'Assumptions'!$D$43/12</x:f>
        <x:v>0.16666666666666666</x:v>
      </x:c>
      <x:c r="Q37" s="76" t="n">
        <x:f>'Assumptions'!$D$48</x:f>
        <x:v>5000</x:v>
      </x:c>
      <x:c r="R37" s="76" t="n">
        <x:f>N37*O37+P37*Q37</x:f>
        <x:v>4233.333333333333</x:v>
      </x:c>
      <x:c r="S37" s="76" t="n">
        <x:f>SUM(E37,G37,I37,K37,M37,R37)</x:f>
        <x:v>41706.99933333333</x:v>
      </x:c>
      <x:c r="T37" s="76" t="n">
        <x:f>SUM(E37,G37,I37,K37)*'Assumptions'!$D$49+M37*'Assumptions'!$D$50+R37*'Assumptions'!$D$51</x:f>
        <x:v>14314.579733333332</x:v>
      </x:c>
      <x:c r="U37" s="76" t="n">
        <x:f>S37-T37</x:f>
        <x:v>27392.4196</x:v>
      </x:c>
    </x:row>
    <x:row r="38">
      <x:c r="A38" s="74" t="n">
        <x:v>47515</x:v>
      </x:c>
      <x:c r="B38" s="29" t="n">
        <x:v>3</x:v>
      </x:c>
      <x:c r="C38" s="29" t="n">
        <x:v>10</x:v>
      </x:c>
      <x:c r="D38" s="75" t="n">
        <x:f>'Assumptions'!$B$37*'Assumptions'!$B$45^2+'Assumptions'!$C$37*'Assumptions'!$C$45+'Assumptions'!$D$37*C38/12</x:f>
        <x:v>55.15</x:v>
      </x:c>
      <x:c r="E38" s="76" t="n">
        <x:f>D38*'Assumptions'!$D$38</x:f>
        <x:v>5459.849999999999</x:v>
      </x:c>
      <x:c r="F38" s="75" t="n">
        <x:f>'Assumptions'!$B$39*'Assumptions'!$B$45^2+'Assumptions'!$C$39*'Assumptions'!$C$45+'Assumptions'!$D$39*C38/12</x:f>
        <x:v>82.22</x:v>
      </x:c>
      <x:c r="G38" s="76" t="n">
        <x:f>F38*'Assumptions'!$D$40</x:f>
        <x:v>20472.78</x:v>
      </x:c>
      <x:c r="H38" s="75" t="n">
        <x:f>'Assumptions'!$B$41*'Assumptions'!$B$45^2+'Assumptions'!$C$41*'Assumptions'!$C$45+'Assumptions'!$D$41*C38/12</x:f>
        <x:v>16.93</x:v>
      </x:c>
      <x:c r="I38" s="76" t="n">
        <x:f>H38*'Assumptions'!$D$42</x:f>
        <x:v>10141.07</x:v>
      </x:c>
      <x:c r="J38" s="75" t="n">
        <x:f>'Assumptions'!$B$43*'Assumptions'!$B$45^2+'Assumptions'!$C$43*'Assumptions'!$C$45+'Assumptions'!$D$43*C38/12</x:f>
        <x:v>2.566666666666667</x:v>
      </x:c>
      <x:c r="K38" s="76" t="n">
        <x:f>J38*'Assumptions'!$D$44</x:f>
        <x:v>2566.666666666667</x:v>
      </x:c>
      <x:c r="L38" s="67" t="n">
        <x:f>'Assumptions'!$D$46</x:f>
        <x:v>0.03</x:v>
      </x:c>
      <x:c r="M38" s="76" t="n">
        <x:f>SUM(E38,G38,I38,K38)*L38</x:f>
        <x:v>1159.2109999999998</x:v>
      </x:c>
      <x:c r="N38" s="75" t="n">
        <x:f>('Assumptions'!$D$37+'Assumptions'!$D$39+'Assumptions'!$D$41)/12</x:f>
        <x:v>8.5</x:v>
      </x:c>
      <x:c r="O38" s="76" t="n">
        <x:f>'Assumptions'!$D$47</x:f>
        <x:v>400</x:v>
      </x:c>
      <x:c r="P38" s="75" t="n">
        <x:f>'Assumptions'!$D$43/12</x:f>
        <x:v>0.16666666666666666</x:v>
      </x:c>
      <x:c r="Q38" s="76" t="n">
        <x:f>'Assumptions'!$D$48</x:f>
        <x:v>5000</x:v>
      </x:c>
      <x:c r="R38" s="76" t="n">
        <x:f>N38*O38+P38*Q38</x:f>
        <x:v>4233.333333333333</x:v>
      </x:c>
      <x:c r="S38" s="76" t="n">
        <x:f>SUM(E38,G38,I38,K38,M38,R38)</x:f>
        <x:v>44032.911</x:v>
      </x:c>
      <x:c r="T38" s="76" t="n">
        <x:f>SUM(E38,G38,I38,K38)*'Assumptions'!$D$49+M38*'Assumptions'!$D$50+R38*'Assumptions'!$D$51</x:f>
        <x:v>15019.127733333331</x:v>
      </x:c>
      <x:c r="U38" s="76" t="n">
        <x:f>S38-T38</x:f>
        <x:v>29013.78326666667</x:v>
      </x:c>
    </x:row>
    <x:row r="39">
      <x:c r="A39" s="74" t="n">
        <x:v>47543</x:v>
      </x:c>
      <x:c r="B39" s="29" t="n">
        <x:v>3</x:v>
      </x:c>
      <x:c r="C39" s="29" t="n">
        <x:v>11</x:v>
      </x:c>
      <x:c r="D39" s="75" t="n">
        <x:f>'Assumptions'!$B$37*'Assumptions'!$B$45^2+'Assumptions'!$C$37*'Assumptions'!$C$45+'Assumptions'!$D$37*C39/12</x:f>
        <x:v>57.65</x:v>
      </x:c>
      <x:c r="E39" s="76" t="n">
        <x:f>D39*'Assumptions'!$D$38</x:f>
        <x:v>5707.349999999999</x:v>
      </x:c>
      <x:c r="F39" s="75" t="n">
        <x:f>'Assumptions'!$B$39*'Assumptions'!$B$45^2+'Assumptions'!$C$39*'Assumptions'!$C$45+'Assumptions'!$D$39*C39/12</x:f>
        <x:v>87.22</x:v>
      </x:c>
      <x:c r="G39" s="76" t="n">
        <x:f>F39*'Assumptions'!$D$40</x:f>
        <x:v>21717.78</x:v>
      </x:c>
      <x:c r="H39" s="75" t="n">
        <x:f>'Assumptions'!$B$41*'Assumptions'!$B$45^2+'Assumptions'!$C$41*'Assumptions'!$C$45+'Assumptions'!$D$41*C39/12</x:f>
        <x:v>17.93</x:v>
      </x:c>
      <x:c r="I39" s="76" t="n">
        <x:f>H39*'Assumptions'!$D$42</x:f>
        <x:v>10740.07</x:v>
      </x:c>
      <x:c r="J39" s="75" t="n">
        <x:f>'Assumptions'!$B$43*'Assumptions'!$B$45^2+'Assumptions'!$C$43*'Assumptions'!$C$45+'Assumptions'!$D$43*C39/12</x:f>
        <x:v>2.7333333333333334</x:v>
      </x:c>
      <x:c r="K39" s="76" t="n">
        <x:f>J39*'Assumptions'!$D$44</x:f>
        <x:v>2733.3333333333335</x:v>
      </x:c>
      <x:c r="L39" s="67" t="n">
        <x:f>'Assumptions'!$D$46</x:f>
        <x:v>0.03</x:v>
      </x:c>
      <x:c r="M39" s="76" t="n">
        <x:f>SUM(E39,G39,I39,K39)*L39</x:f>
        <x:v>1226.956</x:v>
      </x:c>
      <x:c r="N39" s="75" t="n">
        <x:f>('Assumptions'!$D$37+'Assumptions'!$D$39+'Assumptions'!$D$41)/12</x:f>
        <x:v>8.5</x:v>
      </x:c>
      <x:c r="O39" s="76" t="n">
        <x:f>'Assumptions'!$D$47</x:f>
        <x:v>400</x:v>
      </x:c>
      <x:c r="P39" s="75" t="n">
        <x:f>'Assumptions'!$D$43/12</x:f>
        <x:v>0.16666666666666666</x:v>
      </x:c>
      <x:c r="Q39" s="76" t="n">
        <x:f>'Assumptions'!$D$48</x:f>
        <x:v>5000</x:v>
      </x:c>
      <x:c r="R39" s="76" t="n">
        <x:f>N39*O39+P39*Q39</x:f>
        <x:v>4233.333333333333</x:v>
      </x:c>
      <x:c r="S39" s="76" t="n">
        <x:f>SUM(E39,G39,I39,K39,M39,R39)</x:f>
        <x:v>46358.82266666667</x:v>
      </x:c>
      <x:c r="T39" s="76" t="n">
        <x:f>SUM(E39,G39,I39,K39)*'Assumptions'!$D$49+M39*'Assumptions'!$D$50+R39*'Assumptions'!$D$51</x:f>
        <x:v>15723.675733333333</x:v>
      </x:c>
      <x:c r="U39" s="76" t="n">
        <x:f>S39-T39</x:f>
        <x:v>30635.146933333333</x:v>
      </x:c>
    </x:row>
    <x:row r="40">
      <x:c r="A40" s="74" t="n">
        <x:v>47574</x:v>
      </x:c>
      <x:c r="B40" s="29" t="n">
        <x:v>3</x:v>
      </x:c>
      <x:c r="C40" s="29" t="n">
        <x:v>12</x:v>
      </x:c>
      <x:c r="D40" s="75" t="n">
        <x:f>'Assumptions'!$B$37*'Assumptions'!$B$45^2+'Assumptions'!$C$37*'Assumptions'!$C$45+'Assumptions'!$D$37*C40/12</x:f>
        <x:v>60.15</x:v>
      </x:c>
      <x:c r="E40" s="76" t="n">
        <x:f>D40*'Assumptions'!$D$38</x:f>
        <x:v>5954.849999999999</x:v>
      </x:c>
      <x:c r="F40" s="75" t="n">
        <x:f>'Assumptions'!$B$39*'Assumptions'!$B$45^2+'Assumptions'!$C$39*'Assumptions'!$C$45+'Assumptions'!$D$39*C40/12</x:f>
        <x:v>92.22</x:v>
      </x:c>
      <x:c r="G40" s="76" t="n">
        <x:f>F40*'Assumptions'!$D$40</x:f>
        <x:v>22962.78</x:v>
      </x:c>
      <x:c r="H40" s="75" t="n">
        <x:f>'Assumptions'!$B$41*'Assumptions'!$B$45^2+'Assumptions'!$C$41*'Assumptions'!$C$45+'Assumptions'!$D$41*C40/12</x:f>
        <x:v>18.93</x:v>
      </x:c>
      <x:c r="I40" s="76" t="n">
        <x:f>H40*'Assumptions'!$D$42</x:f>
        <x:v>11339.07</x:v>
      </x:c>
      <x:c r="J40" s="75" t="n">
        <x:f>'Assumptions'!$B$43*'Assumptions'!$B$45^2+'Assumptions'!$C$43*'Assumptions'!$C$45+'Assumptions'!$D$43*C40/12</x:f>
        <x:v>2.9</x:v>
      </x:c>
      <x:c r="K40" s="76" t="n">
        <x:f>J40*'Assumptions'!$D$44</x:f>
        <x:v>2900</x:v>
      </x:c>
      <x:c r="L40" s="67" t="n">
        <x:f>'Assumptions'!$D$46</x:f>
        <x:v>0.03</x:v>
      </x:c>
      <x:c r="M40" s="76" t="n">
        <x:f>SUM(E40,G40,I40,K40)*L40</x:f>
        <x:v>1294.7009999999998</x:v>
      </x:c>
      <x:c r="N40" s="75" t="n">
        <x:f>('Assumptions'!$D$37+'Assumptions'!$D$39+'Assumptions'!$D$41)/12</x:f>
        <x:v>8.5</x:v>
      </x:c>
      <x:c r="O40" s="76" t="n">
        <x:f>'Assumptions'!$D$47</x:f>
        <x:v>400</x:v>
      </x:c>
      <x:c r="P40" s="75" t="n">
        <x:f>'Assumptions'!$D$43/12</x:f>
        <x:v>0.16666666666666666</x:v>
      </x:c>
      <x:c r="Q40" s="76" t="n">
        <x:f>'Assumptions'!$D$48</x:f>
        <x:v>5000</x:v>
      </x:c>
      <x:c r="R40" s="76" t="n">
        <x:f>N40*O40+P40*Q40</x:f>
        <x:v>4233.333333333333</x:v>
      </x:c>
      <x:c r="S40" s="76" t="n">
        <x:f>SUM(E40,G40,I40,K40,M40,R40)</x:f>
        <x:v>48684.734333333334</x:v>
      </x:c>
      <x:c r="T40" s="76" t="n">
        <x:f>SUM(E40,G40,I40,K40)*'Assumptions'!$D$49+M40*'Assumptions'!$D$50+R40*'Assumptions'!$D$51</x:f>
        <x:v>16428.223733333332</x:v>
      </x:c>
      <x:c r="U40" s="76" t="n">
        <x:f>S40-T40</x:f>
        <x:v>32256.5106</x:v>
      </x:c>
    </x:row>
  </x:sheetData>
  <x:mergeCells>
    <x:mergeCell ref="A1:U1"/>
    <x:mergeCell ref="A2:U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</x:cols>
  <x:sheetData>
    <x:row r="1" ht="28" customHeight="1">
      <x:c r="A1" s="19" t="str">
        <x:v>Scenario Summary</x:v>
      </x:c>
      <x:c r="B1" s="19" t="str">
        <x:v>Scenario View — Beta + Commercial Cohort Underwriting</x:v>
      </x:c>
      <x:c r="C1" s="19" t="str">
        <x:v>Scenario View — Beta + Commercial Cohort Underwriting</x:v>
      </x:c>
      <x:c r="D1" s="19" t="str">
        <x:v>Scenario View — Beta + Commercial Cohort Underwriting</x:v>
      </x:c>
      <x:c r="E1" s="19" t="str">
        <x:v>Scenario View — Beta + Commercial Cohort Underwriting</x:v>
      </x:c>
      <x:c r="F1" s="19" t="str">
        <x:v>Scenario View — Beta + Commercial Cohort Underwriting</x:v>
      </x:c>
      <x:c r="G1" s="19" t="str">
        <x:v>Scenario View — Beta + Commercial Cohort Underwriting</x:v>
      </x:c>
      <x:c r="H1" s="19" t="str">
        <x:v>Scenario View — Beta + Commercial Cohort Underwriting</x:v>
      </x:c>
      <x:c r="I1" s="19" t="str">
        <x:v>Scenario View — Beta + Commercial Cohort Underwriting</x:v>
      </x:c>
      <x:c r="J1" s="19" t="str">
        <x:v>Scenario View — Beta + Commercial Cohort Underwriting</x:v>
      </x:c>
      <x:c r="K1" s="19" t="str">
        <x:v>Scenario View — Beta + Commercial Cohort Underwriting</x:v>
      </x:c>
      <x:c r="L1" s="19" t="str">
        <x:v>Scenario View — Beta + Commercial Cohort Underwriting</x:v>
      </x:c>
      <x:c r="M1" s="19" t="str">
        <x:v>Scenario View — Beta + Commercial Cohort Underwriting</x:v>
      </x:c>
      <x:c r="N1" s="19" t="str">
        <x:v>Scenario View — Beta + Commercial Cohort Underwriting</x:v>
      </x:c>
      <x:c r="O1" s="19" t="str">
        <x:v>Scenario View — Beta + Commercial Cohort Underwriting</x:v>
      </x:c>
      <x:c r="P1" s="19" t="str">
        <x:v>Scenario View — Beta + Commercial Cohort Underwriting</x:v>
      </x:c>
      <x:c r="Q1" s="19" t="str">
        <x:v>Scenario View — Beta + Commercial Cohort Underwriting</x:v>
      </x:c>
      <x:c r="R1" s="19" t="str">
        <x:v>Scenario View — Beta + Commercial Cohort Underwriting</x:v>
      </x:c>
    </x:row>
    <x:row r="2" ht="25" customHeight="1">
      <x:c r="A2" s="20" t="str">
        <x:v>Four revenue cases and the acquisition and retention assumptions that drive them</x:v>
      </x:c>
      <x:c r="B2" s="20" t="str">
        <x:v>Each scenario changes Beta attainment, commercial acquisition and retention, then recomputes every revenue stream.</x:v>
      </x:c>
      <x:c r="C2" s="20" t="str">
        <x:v>Each scenario changes Beta attainment, commercial acquisition and retention, then recomputes every revenue stream.</x:v>
      </x:c>
      <x:c r="D2" s="20" t="str">
        <x:v>Each scenario changes Beta attainment, commercial acquisition and retention, then recomputes every revenue stream.</x:v>
      </x:c>
      <x:c r="E2" s="20" t="str">
        <x:v>Each scenario changes Beta attainment, commercial acquisition and retention, then recomputes every revenue stream.</x:v>
      </x:c>
      <x:c r="F2" s="20" t="str">
        <x:v>Each scenario changes Beta attainment, commercial acquisition and retention, then recomputes every revenue stream.</x:v>
      </x:c>
      <x:c r="G2" s="20" t="str">
        <x:v>Each scenario changes Beta attainment, commercial acquisition and retention, then recomputes every revenue stream.</x:v>
      </x:c>
      <x:c r="H2" s="20" t="str">
        <x:v>Each scenario changes Beta attainment, commercial acquisition and retention, then recomputes every revenue stream.</x:v>
      </x:c>
      <x:c r="I2" s="20" t="str">
        <x:v>Each scenario changes Beta attainment, commercial acquisition and retention, then recomputes every revenue stream.</x:v>
      </x:c>
      <x:c r="J2" s="20" t="str">
        <x:v>Each scenario changes Beta attainment, commercial acquisition and retention, then recomputes every revenue stream.</x:v>
      </x:c>
      <x:c r="K2" s="20" t="str">
        <x:v>Each scenario changes Beta attainment, commercial acquisition and retention, then recomputes every revenue stream.</x:v>
      </x:c>
      <x:c r="L2" s="20" t="str">
        <x:v>Each scenario changes Beta attainment, commercial acquisition and retention, then recomputes every revenue stream.</x:v>
      </x:c>
      <x:c r="M2" s="20" t="str">
        <x:v>Each scenario changes Beta attainment, commercial acquisition and retention, then recomputes every revenue stream.</x:v>
      </x:c>
      <x:c r="N2" s="20" t="str">
        <x:v>Each scenario changes Beta attainment, commercial acquisition and retention, then recomputes every revenue stream.</x:v>
      </x:c>
      <x:c r="O2" s="20" t="str">
        <x:v>Each scenario changes Beta attainment, commercial acquisition and retention, then recomputes every revenue stream.</x:v>
      </x:c>
      <x:c r="P2" s="20" t="str">
        <x:v>Each scenario changes Beta attainment, commercial acquisition and retention, then recomputes every revenue stream.</x:v>
      </x:c>
      <x:c r="Q2" s="20" t="str">
        <x:v>Each scenario changes Beta attainment, commercial acquisition and retention, then recomputes every revenue stream.</x:v>
      </x:c>
      <x:c r="R2" s="20" t="str">
        <x:v>Each scenario changes Beta attainment, commercial acquisition and retention, then recomputes every revenue stream.</x:v>
      </x:c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  <x:c r="M3" s="29"/>
      <x:c r="N3" s="29"/>
      <x:c r="O3" s="29"/>
      <x:c r="P3" s="29"/>
      <x:c r="Q3" s="29"/>
      <x:c r="R3" s="29"/>
    </x:row>
    <x:row r="4" ht="27" customHeight="1">
      <x:c r="A4" s="22" t="str">
        <x:v>Scenario</x:v>
      </x:c>
      <x:c r="B4" s="22" t="str">
        <x:v>Y1</x:v>
      </x:c>
      <x:c r="C4" s="22" t="str">
        <x:v>Y2</x:v>
      </x:c>
      <x:c r="D4" s="22" t="str">
        <x:v>Y3</x:v>
      </x:c>
      <x:c r="E4" s="29"/>
      <x:c r="F4" s="29"/>
      <x:c r="G4" s="29"/>
      <x:c r="H4" s="29"/>
      <x:c r="I4" s="29"/>
      <x:c r="J4" s="29"/>
      <x:c r="K4" s="29"/>
      <x:c r="L4" s="29"/>
      <x:c r="M4" s="29"/>
      <x:c r="N4" s="29"/>
      <x:c r="O4" s="29"/>
      <x:c r="P4" s="29"/>
      <x:c r="Q4" s="29"/>
      <x:c r="R4" s="29"/>
    </x:row>
    <x:row r="5">
      <x:c r="A5" s="29" t="str">
        <x:v>Conservative</x:v>
      </x:c>
      <x:c r="B5" s="62" t="n">
        <x:f>R16</x:f>
        <x:v>83997.2</x:v>
      </x:c>
      <x:c r="C5" s="62" t="n">
        <x:f>R17</x:f>
        <x:v>266877.7766666666</x:v>
      </x:c>
      <x:c r="D5" s="62" t="n">
        <x:f>R18</x:f>
        <x:v>719471.6521</x:v>
      </x:c>
      <x:c r="E5" s="29"/>
      <x:c r="F5" s="29"/>
      <x:c r="G5" s="29"/>
      <x:c r="H5" s="29"/>
      <x:c r="I5" s="29"/>
      <x:c r="J5" s="29"/>
      <x:c r="K5" s="29"/>
      <x:c r="L5" s="29"/>
      <x:c r="M5" s="29"/>
      <x:c r="N5" s="29"/>
      <x:c r="O5" s="29"/>
      <x:c r="P5" s="29"/>
      <x:c r="Q5" s="29"/>
      <x:c r="R5" s="29"/>
    </x:row>
    <x:row r="6">
      <x:c r="A6" s="29" t="str">
        <x:v>Base</x:v>
      </x:c>
      <x:c r="B6" s="62" t="n">
        <x:f>R19</x:f>
        <x:v>120239</x:v>
      </x:c>
      <x:c r="C6" s="62" t="n">
        <x:f>R20</x:f>
        <x:v>364763.1333333333</x:v>
      </x:c>
      <x:c r="D6" s="62" t="n">
        <x:f>R21</x:f>
        <x:v>943132.482</x:v>
      </x:c>
      <x:c r="E6" s="29"/>
      <x:c r="F6" s="29"/>
      <x:c r="G6" s="29"/>
      <x:c r="H6" s="29"/>
      <x:c r="I6" s="29"/>
      <x:c r="J6" s="29"/>
      <x:c r="K6" s="29"/>
      <x:c r="L6" s="29"/>
      <x:c r="M6" s="29"/>
      <x:c r="N6" s="29"/>
      <x:c r="O6" s="29"/>
      <x:c r="P6" s="29"/>
      <x:c r="Q6" s="29"/>
      <x:c r="R6" s="29"/>
    </x:row>
    <x:row r="7">
      <x:c r="A7" s="86" t="str">
        <x:f>$A$14</x:f>
        <x:v>Marketing-backed</x:v>
      </x:c>
      <x:c r="B7" s="97" t="n">
        <x:f>$R$25</x:f>
        <x:v>143010</x:v>
      </x:c>
      <x:c r="C7" s="97" t="n">
        <x:f>$R$26</x:f>
        <x:v>448343.51666666666</x:v>
      </x:c>
      <x:c r="D7" s="97" t="n">
        <x:f>$R$27</x:f>
        <x:v>1197961.9614</x:v>
      </x:c>
      <x:c r="E7" s="29"/>
      <x:c r="F7" s="29"/>
      <x:c r="G7" s="29"/>
      <x:c r="H7" s="29"/>
      <x:c r="I7" s="29"/>
      <x:c r="J7" s="29"/>
      <x:c r="K7" s="29"/>
      <x:c r="L7" s="29"/>
      <x:c r="M7" s="29"/>
      <x:c r="N7" s="29"/>
      <x:c r="O7" s="29"/>
      <x:c r="P7" s="29"/>
      <x:c r="Q7" s="29"/>
      <x:c r="R7" s="29"/>
    </x:row>
    <x:row r="8">
      <x:c r="A8" s="29" t="str">
        <x:f>$A$13</x:f>
        <x:v>Upside</x:v>
      </x:c>
      <x:c r="B8" s="62" t="n">
        <x:f>$R$22</x:f>
        <x:v>155574.59</x:v>
      </x:c>
      <x:c r="C8" s="62" t="n">
        <x:f>$R$23</x:f>
        <x:v>494816.3022</x:v>
      </x:c>
      <x:c r="D8" s="62" t="n">
        <x:f>$R$24</x:f>
        <x:v>1333338.16806</x:v>
      </x:c>
      <x:c r="E8" s="29"/>
      <x:c r="F8" s="29"/>
      <x:c r="G8" s="29"/>
      <x:c r="H8" s="29"/>
      <x:c r="I8" s="29"/>
      <x:c r="J8" s="29"/>
      <x:c r="K8" s="29"/>
      <x:c r="L8" s="29"/>
      <x:c r="M8" s="29"/>
      <x:c r="N8" s="29"/>
      <x:c r="O8" s="29"/>
      <x:c r="P8" s="29"/>
      <x:c r="Q8" s="29"/>
      <x:c r="R8" s="29"/>
    </x:row>
    <x:row r="9">
      <x:c r="A9" s="29"/>
      <x:c r="B9" s="29"/>
      <x:c r="C9" s="29"/>
      <x:c r="D9" s="29"/>
      <x:c r="E9" s="29"/>
      <x:c r="F9" s="29"/>
      <x:c r="G9" s="29"/>
      <x:c r="H9" s="29"/>
      <x:c r="I9" s="29"/>
      <x:c r="J9" s="29"/>
      <x:c r="K9" s="29"/>
      <x:c r="L9" s="29"/>
      <x:c r="M9" s="29"/>
      <x:c r="N9" s="29"/>
      <x:c r="O9" s="29"/>
      <x:c r="P9" s="29"/>
      <x:c r="Q9" s="29"/>
      <x:c r="R9" s="29"/>
    </x:row>
    <x:row r="10" ht="27" customHeight="1">
      <x:c r="A10" s="22" t="str">
        <x:v>Scenario</x:v>
      </x:c>
      <x:c r="B10" s="22" t="str">
        <x:v>Beta attainment</x:v>
      </x:c>
      <x:c r="C10" s="22" t="str">
        <x:v>Y1 acquisition</x:v>
      </x:c>
      <x:c r="D10" s="22" t="str">
        <x:v>Y2 acquisition</x:v>
      </x:c>
      <x:c r="E10" s="22" t="str">
        <x:v>Y3 acquisition</x:v>
      </x:c>
      <x:c r="F10" s="22" t="str">
        <x:v>Individual retention</x:v>
      </x:c>
      <x:c r="G10" s="22" t="str">
        <x:v>B2B retention</x:v>
      </x:c>
      <x:c r="H10" s="22" t="str">
        <x:v>API retention</x:v>
      </x:c>
      <x:c r="I10" s="29"/>
      <x:c r="J10" s="29"/>
      <x:c r="K10" s="29"/>
      <x:c r="L10" s="29"/>
      <x:c r="M10" s="29"/>
      <x:c r="N10" s="29"/>
      <x:c r="O10" s="29"/>
      <x:c r="P10" s="29"/>
      <x:c r="Q10" s="29"/>
      <x:c r="R10" s="29"/>
    </x:row>
    <x:row r="11">
      <x:c r="A11" s="29" t="str">
        <x:v>Conservative</x:v>
      </x:c>
      <x:c r="B11" s="34" t="n">
        <x:v>0.7</x:v>
      </x:c>
      <x:c r="C11" s="34" t="n">
        <x:v>0.7</x:v>
      </x:c>
      <x:c r="D11" s="34" t="n">
        <x:v>0.8</x:v>
      </x:c>
      <x:c r="E11" s="34" t="n">
        <x:v>0.85</x:v>
      </x:c>
      <x:c r="F11" s="34" t="n">
        <x:v>0.5</x:v>
      </x:c>
      <x:c r="G11" s="34" t="n">
        <x:v>0.8</x:v>
      </x:c>
      <x:c r="H11" s="34" t="n">
        <x:v>0.6</x:v>
      </x:c>
      <x:c r="I11" s="29"/>
      <x:c r="J11" s="29"/>
      <x:c r="K11" s="29"/>
      <x:c r="L11" s="29"/>
      <x:c r="M11" s="29"/>
      <x:c r="N11" s="29"/>
      <x:c r="O11" s="29"/>
      <x:c r="P11" s="29"/>
      <x:c r="Q11" s="29"/>
      <x:c r="R11" s="29"/>
    </x:row>
    <x:row r="12">
      <x:c r="A12" s="29" t="str">
        <x:v>Base</x:v>
      </x:c>
      <x:c r="B12" s="34" t="n">
        <x:v>1</x:v>
      </x:c>
      <x:c r="C12" s="34" t="n">
        <x:v>1</x:v>
      </x:c>
      <x:c r="D12" s="34" t="n">
        <x:v>1</x:v>
      </x:c>
      <x:c r="E12" s="34" t="n">
        <x:v>1</x:v>
      </x:c>
      <x:c r="F12" s="34" t="n">
        <x:v>0.6</x:v>
      </x:c>
      <x:c r="G12" s="34" t="n">
        <x:v>0.9</x:v>
      </x:c>
      <x:c r="H12" s="34" t="n">
        <x:v>0.7</x:v>
      </x:c>
      <x:c r="I12" s="29"/>
      <x:c r="J12" s="29"/>
      <x:c r="K12" s="29"/>
      <x:c r="L12" s="29"/>
      <x:c r="M12" s="29"/>
      <x:c r="N12" s="29"/>
      <x:c r="O12" s="29"/>
      <x:c r="P12" s="29"/>
      <x:c r="Q12" s="29"/>
      <x:c r="R12" s="29"/>
    </x:row>
    <x:row r="13">
      <x:c r="A13" s="29" t="str">
        <x:v>Upside</x:v>
      </x:c>
      <x:c r="B13" s="34" t="n">
        <x:v>1.15</x:v>
      </x:c>
      <x:c r="C13" s="34" t="n">
        <x:v>1.3</x:v>
      </x:c>
      <x:c r="D13" s="34" t="n">
        <x:v>1.35</x:v>
      </x:c>
      <x:c r="E13" s="34" t="n">
        <x:v>1.4</x:v>
      </x:c>
      <x:c r="F13" s="34" t="n">
        <x:v>0.7</x:v>
      </x:c>
      <x:c r="G13" s="34" t="n">
        <x:v>0.93</x:v>
      </x:c>
      <x:c r="H13" s="34" t="n">
        <x:v>0.8</x:v>
      </x:c>
      <x:c r="I13" s="29"/>
      <x:c r="J13" s="29"/>
      <x:c r="K13" s="29"/>
      <x:c r="L13" s="29"/>
      <x:c r="M13" s="29"/>
      <x:c r="N13" s="29"/>
      <x:c r="O13" s="29"/>
      <x:c r="P13" s="29"/>
      <x:c r="Q13" s="29"/>
      <x:c r="R13" s="29"/>
    </x:row>
    <x:row r="14">
      <x:c r="A14" s="86" t="str">
        <x:v>Marketing-backed</x:v>
      </x:c>
      <x:c r="B14" s="84" t="n">
        <x:v>1</x:v>
      </x:c>
      <x:c r="C14" s="84" t="n">
        <x:v>1.2</x:v>
      </x:c>
      <x:c r="D14" s="84" t="n">
        <x:v>1.25</x:v>
      </x:c>
      <x:c r="E14" s="84" t="n">
        <x:v>1.3</x:v>
      </x:c>
      <x:c r="F14" s="84" t="n">
        <x:v>0.6</x:v>
      </x:c>
      <x:c r="G14" s="84" t="n">
        <x:v>0.9</x:v>
      </x:c>
      <x:c r="H14" s="84" t="n">
        <x:v>0.7</x:v>
      </x:c>
      <x:c r="I14" s="29"/>
      <x:c r="J14" s="29"/>
      <x:c r="K14" s="29"/>
      <x:c r="L14" s="29"/>
      <x:c r="M14" s="29"/>
      <x:c r="N14" s="29"/>
      <x:c r="O14" s="29"/>
      <x:c r="P14" s="29"/>
      <x:c r="Q14" s="29"/>
      <x:c r="R14" s="29"/>
    </x:row>
    <x:row r="15" ht="2" customHeight="1">
      <x:c r="A15" s="215" t="str">
        <x:v>Scenario</x:v>
      </x:c>
      <x:c r="B15" s="216" t="str">
        <x:v>Year</x:v>
      </x:c>
      <x:c r="C15" s="216" t="str">
        <x:v>Beta attainment</x:v>
      </x:c>
      <x:c r="D15" s="216" t="str">
        <x:v>Acq. multiplier</x:v>
      </x:c>
      <x:c r="E15" s="216" t="str">
        <x:v>Ind. retention</x:v>
      </x:c>
      <x:c r="F15" s="216" t="str">
        <x:v>B2B retention</x:v>
      </x:c>
      <x:c r="G15" s="216" t="str">
        <x:v>API retention</x:v>
      </x:c>
      <x:c r="H15" s="216" t="str">
        <x:v>Beta carry</x:v>
      </x:c>
      <x:c r="I15" s="216" t="str">
        <x:v>Individuals</x:v>
      </x:c>
      <x:c r="J15" s="216" t="str">
        <x:v>Team seats</x:v>
      </x:c>
      <x:c r="K15" s="216" t="str">
        <x:v>Enterprise</x:v>
      </x:c>
      <x:c r="L15" s="216" t="str">
        <x:v>API</x:v>
      </x:c>
      <x:c r="M15" s="216" t="str">
        <x:v>Core onboarding</x:v>
      </x:c>
      <x:c r="N15" s="216" t="str">
        <x:v>CORE TOTAL</x:v>
      </x:c>
      <x:c r="O15" s="216" t="str">
        <x:v>Engage subs</x:v>
      </x:c>
      <x:c r="P15" s="216" t="str">
        <x:v>Usage</x:v>
      </x:c>
      <x:c r="Q15" s="216" t="str">
        <x:v>Engage onboarding</x:v>
      </x:c>
      <x:c r="R15" s="217" t="str">
        <x:v>TOTAL MIMAR</x:v>
      </x:c>
    </x:row>
    <x:row r="16" ht="2" customHeight="1">
      <x:c r="A16" s="141" t="str">
        <x:f>$A$11</x:f>
        <x:v>Conservative</x:v>
      </x:c>
      <x:c r="B16" s="143" t="n">
        <x:f>1</x:f>
        <x:v>1</x:v>
      </x:c>
      <x:c r="C16" s="218" t="n">
        <x:f>$B$11</x:f>
        <x:v>0.7</x:v>
      </x:c>
      <x:c r="D16" s="218" t="n">
        <x:f>$C$11</x:f>
        <x:v>0.7</x:v>
      </x:c>
      <x:c r="E16" s="218" t="n">
        <x:f>$F$11</x:f>
        <x:v>0.5</x:v>
      </x:c>
      <x:c r="F16" s="218" t="n">
        <x:f>$G$11</x:f>
        <x:v>0.8</x:v>
      </x:c>
      <x:c r="G16" s="218" t="n">
        <x:f>$H$11</x:f>
        <x:v>0.6</x:v>
      </x:c>
      <x:c r="H16" s="142" t="n">
        <x:f>$C16*(('Assumptions'!$B$8*(6*$E16^0+6*$E16^1)+'Assumptions'!$B$9*(10*$E16^0+2*$E16^1))*'Assumptions'!$B$10/12+('Assumptions'!$B$11*(6*$F16^0+6*$F16^1)+'Assumptions'!$B$12*(10*$F16^0+2*$F16^1))*'Assumptions'!$B$13*'Assumptions'!$B$14/12)</x:f>
        <x:v>4298.7</x:v>
      </x:c>
      <x:c r="I16" s="142" t="n">
        <x:f>('Assumptions'!$B$20*$D16*6.5)*'Assumptions'!$B$22</x:f>
        <x:v>7280</x:v>
      </x:c>
      <x:c r="J16" s="142" t="n">
        <x:f>'Assumptions'!$B$23*$D16*6.5*'Assumptions'!$B$25*'Assumptions'!$B$26</x:f>
        <x:v>14560</x:v>
      </x:c>
      <x:c r="K16" s="142" t="n">
        <x:f>'Assumptions'!$B$27*$D16*6.5/12*'Assumptions'!$B$28</x:f>
        <x:v>0</x:v>
      </x:c>
      <x:c r="L16" s="142" t="n">
        <x:f>'Assumptions'!$B$29*$D16*6.5*'Assumptions'!$B$31</x:f>
        <x:v>2730</x:v>
      </x:c>
      <x:c r="M16" s="142" t="n">
        <x:f>('Assumptions'!$B$23+'Assumptions'!$B$27)*$D16*'Assumptions'!$B$32</x:f>
        <x:v>14000</x:v>
      </x:c>
      <x:c r="N16" s="142" t="n">
        <x:f>SUM(H16:M16)</x:f>
        <x:v>42868.7</x:v>
      </x:c>
      <x:c r="O16" s="142" t="n">
        <x:f>'Assumptions'!$B$37*$D16*6.5*'Assumptions'!$B$38+'Assumptions'!$B$39*$D16*6.5*'Assumptions'!$B$40+'Assumptions'!$B$41*$D16*6.5*'Assumptions'!$B$42+'Assumptions'!$B$43*$D16*6.5*'Assumptions'!$B$44</x:f>
        <x:v>28528.499999999996</x:v>
      </x:c>
      <x:c r="P16" s="142" t="n">
        <x:f>O16*'Assumptions'!$B$46</x:f>
        <x:v>0</x:v>
      </x:c>
      <x:c r="Q16" s="142" t="n">
        <x:f>(('Assumptions'!$B$37+'Assumptions'!$B$39+'Assumptions'!$B$41)*'Assumptions'!$B$47+'Assumptions'!$B$43*'Assumptions'!$B$48)*$D16</x:f>
        <x:v>12600</x:v>
      </x:c>
      <x:c r="R16" s="144" t="n">
        <x:f>N16+O16+P16+Q16</x:f>
        <x:v>83997.2</x:v>
      </x:c>
    </x:row>
    <x:row r="17" ht="2" customHeight="1">
      <x:c r="A17" s="141" t="str">
        <x:f>$A$11</x:f>
        <x:v>Conservative</x:v>
      </x:c>
      <x:c r="B17" s="143" t="n">
        <x:f>2</x:f>
        <x:v>2</x:v>
      </x:c>
      <x:c r="C17" s="218" t="n">
        <x:f>$B$11</x:f>
        <x:v>0.7</x:v>
      </x:c>
      <x:c r="D17" s="218" t="n">
        <x:f>$D$11</x:f>
        <x:v>0.8</x:v>
      </x:c>
      <x:c r="E17" s="218" t="n">
        <x:f>$F$11</x:f>
        <x:v>0.5</x:v>
      </x:c>
      <x:c r="F17" s="218" t="n">
        <x:f>$G$11</x:f>
        <x:v>0.8</x:v>
      </x:c>
      <x:c r="G17" s="218" t="n">
        <x:f>$H$11</x:f>
        <x:v>0.6</x:v>
      </x:c>
      <x:c r="H17" s="142" t="n">
        <x:f>$C17*(('Assumptions'!$B$8*(6*$E17^1+6*$E17^2)+'Assumptions'!$B$9*(10*$E17^1+2*$E17^2))*'Assumptions'!$B$10/12+('Assumptions'!$B$11*(6*$F17^1+6*$F17^2)+'Assumptions'!$B$12*(10*$F17^1+2*$F17^2))*'Assumptions'!$B$13*'Assumptions'!$B$14/12)</x:f>
        <x:v>2421.5099999999998</x:v>
      </x:c>
      <x:c r="I17" s="142" t="n">
        <x:f>('Assumptions'!$B$20*$D16*$E17*12+'Assumptions'!$C$20*$D17*6.5)*'Assumptions'!$C$22</x:f>
        <x:v>30960</x:v>
      </x:c>
      <x:c r="J17" s="142" t="n">
        <x:f>('Assumptions'!$B$23*$D16*$F17*12+'Assumptions'!$C$23*$D17*6.5)*'Assumptions'!$C$25*'Assumptions'!$C$26</x:f>
        <x:v>57499.2</x:v>
      </x:c>
      <x:c r="K17" s="142" t="n">
        <x:f>('Assumptions'!$B$27*$D16*$F17*12+'Assumptions'!$C$27*$D17*6.5)/12*'Assumptions'!$C$28</x:f>
        <x:v>8666.666666666666</x:v>
      </x:c>
      <x:c r="L17" s="142" t="n">
        <x:f>('Assumptions'!$B$29*$D16*$G17*12+'Assumptions'!$C$29*$D17*6.5)*'Assumptions'!$C$31</x:f>
        <x:v>16236</x:v>
      </x:c>
      <x:c r="M17" s="142" t="n">
        <x:f>('Assumptions'!$C$23+'Assumptions'!$C$27)*$D17*'Assumptions'!$C$32</x:f>
        <x:v>22320</x:v>
      </x:c>
      <x:c r="N17" s="142" t="n">
        <x:f>SUM(H17:M17)</x:f>
        <x:v>138103.37666666665</x:v>
      </x:c>
      <x:c r="O17" s="142" t="n">
        <x:f>('Assumptions'!$B$37*$D16*$F17*12+'Assumptions'!$C$37*$D17*6.5)*'Assumptions'!$C$38+('Assumptions'!$B$39*$D16*$F17*12+'Assumptions'!$C$39*$D17*6.5)*'Assumptions'!$C$40+('Assumptions'!$B$41*$D16*$F17*12+'Assumptions'!$C$41*$D17*6.5)*'Assumptions'!$C$42+('Assumptions'!$B$43*$D16*$F17*12+'Assumptions'!$C$43*$D17*6.5)*'Assumptions'!$C$44</x:f>
        <x:v>105574.4</x:v>
      </x:c>
      <x:c r="P17" s="142" t="n">
        <x:f>O17*'Assumptions'!$C$46</x:f>
        <x:v>0</x:v>
      </x:c>
      <x:c r="Q17" s="142" t="n">
        <x:f>(('Assumptions'!$C$37+'Assumptions'!$C$39+'Assumptions'!$C$41)*'Assumptions'!$C$47+'Assumptions'!$C$43*'Assumptions'!$C$48)*$D17</x:f>
        <x:v>23200</x:v>
      </x:c>
      <x:c r="R17" s="144" t="n">
        <x:f>N17+O17+P17+Q17</x:f>
        <x:v>266877.7766666666</x:v>
      </x:c>
    </x:row>
    <x:row r="18" ht="2" customHeight="1">
      <x:c r="A18" s="141" t="str">
        <x:f>$A$11</x:f>
        <x:v>Conservative</x:v>
      </x:c>
      <x:c r="B18" s="143" t="n">
        <x:f>3</x:f>
        <x:v>3</x:v>
      </x:c>
      <x:c r="C18" s="218" t="n">
        <x:f>$B$11</x:f>
        <x:v>0.7</x:v>
      </x:c>
      <x:c r="D18" s="218" t="n">
        <x:f>$E$11</x:f>
        <x:v>0.85</x:v>
      </x:c>
      <x:c r="E18" s="218" t="n">
        <x:f>$F$11</x:f>
        <x:v>0.5</x:v>
      </x:c>
      <x:c r="F18" s="218" t="n">
        <x:f>$G$11</x:f>
        <x:v>0.8</x:v>
      </x:c>
      <x:c r="G18" s="218" t="n">
        <x:f>$H$11</x:f>
        <x:v>0.6</x:v>
      </x:c>
      <x:c r="H18" s="142" t="n">
        <x:f>$C18*(('Assumptions'!$B$8*(6*$E18^2+6*$E18^3)+'Assumptions'!$B$9*(10*$E18^2+2*$E18^3))*'Assumptions'!$B$10/12+('Assumptions'!$B$11*(6*$F18^2+6*$F18^3)+'Assumptions'!$B$12*(10*$F18^2+2*$F18^3))*'Assumptions'!$B$13*'Assumptions'!$B$14/12)</x:f>
        <x:v>1428.483</x:v>
      </x:c>
      <x:c r="I18" s="142" t="n">
        <x:f>('Assumptions'!$B$20*$D16*$E18^2*12+'Assumptions'!$C$20*$D17*$E18*12+'Assumptions'!$D$20*$D18*6.5)*'Assumptions'!$D$22</x:f>
        <x:v>83450</x:v>
      </x:c>
      <x:c r="J18" s="142" t="n">
        <x:f>('Assumptions'!$B$23*$D16*$F18^2*12+'Assumptions'!$C$23*$D17*$F18*12+'Assumptions'!$D$23*$D18*6.5)*'Assumptions'!$D$25*'Assumptions'!$D$26</x:f>
        <x:v>160660.80000000002</x:v>
      </x:c>
      <x:c r="K18" s="142" t="n">
        <x:f>('Assumptions'!$B$27*$D16*$F18^2*12+'Assumptions'!$C$27*$D17*$F18*12+'Assumptions'!$D$27*$D18*6.5)/12*'Assumptions'!$D$28</x:f>
        <x:v>44467.50000000001</x:v>
      </x:c>
      <x:c r="L18" s="142" t="n">
        <x:f>('Assumptions'!$B$29*$D16*$G18^2*12+'Assumptions'!$C$29*$D17*$G18*12+'Assumptions'!$D$29*$D18*6.5)*'Assumptions'!$D$31</x:f>
        <x:v>60688.8</x:v>
      </x:c>
      <x:c r="M18" s="142" t="n">
        <x:f>('Assumptions'!$D$23+'Assumptions'!$D$27)*$D18*'Assumptions'!$D$32</x:f>
        <x:v>40162.5</x:v>
      </x:c>
      <x:c r="N18" s="142" t="n">
        <x:f>SUM(H18:M18)</x:f>
        <x:v>390858.083</x:v>
      </x:c>
      <x:c r="O18" s="142" t="n">
        <x:f>('Assumptions'!$B$37*$D16*$F18^2*12+'Assumptions'!$C$37*$D17*$F18*12+'Assumptions'!$D$37*$D18*6.5)*'Assumptions'!$D$38+('Assumptions'!$B$39*$D16*$F18^2*12+'Assumptions'!$C$39*$D17*$F18*12+'Assumptions'!$D$39*$D18*6.5)*'Assumptions'!$D$40+('Assumptions'!$B$41*$D16*$F18^2*12+'Assumptions'!$C$41*$D17*$F18*12+'Assumptions'!$D$41*$D18*6.5)*'Assumptions'!$D$42+('Assumptions'!$B$43*$D16*$F18^2*12+'Assumptions'!$C$43*$D17*$F18*12+'Assumptions'!$D$43*$D18*6.5)*'Assumptions'!$D$44</x:f>
        <x:v>277119.97</x:v>
      </x:c>
      <x:c r="P18" s="142" t="n">
        <x:f>O18*'Assumptions'!$D$46</x:f>
        <x:v>8313.5991</x:v>
      </x:c>
      <x:c r="Q18" s="142" t="n">
        <x:f>(('Assumptions'!$D$37+'Assumptions'!$D$39+'Assumptions'!$D$41)*'Assumptions'!$D$47+'Assumptions'!$D$43*'Assumptions'!$D$48)*$D18</x:f>
        <x:v>43180</x:v>
      </x:c>
      <x:c r="R18" s="144" t="n">
        <x:f>N18+O18+P18+Q18</x:f>
        <x:v>719471.6521</x:v>
      </x:c>
    </x:row>
    <x:row r="19" ht="2" customHeight="1">
      <x:c r="A19" s="141" t="str">
        <x:f>$A$12</x:f>
        <x:v>Base</x:v>
      </x:c>
      <x:c r="B19" s="143" t="n">
        <x:f>1</x:f>
        <x:v>1</x:v>
      </x:c>
      <x:c r="C19" s="218" t="n">
        <x:f>$B$12</x:f>
        <x:v>1</x:v>
      </x:c>
      <x:c r="D19" s="218" t="n">
        <x:f>$C$12</x:f>
        <x:v>1</x:v>
      </x:c>
      <x:c r="E19" s="218" t="n">
        <x:f>$F$12</x:f>
        <x:v>0.6</x:v>
      </x:c>
      <x:c r="F19" s="218" t="n">
        <x:f>$G$12</x:f>
        <x:v>0.9</x:v>
      </x:c>
      <x:c r="G19" s="218" t="n">
        <x:f>$H$12</x:f>
        <x:v>0.7</x:v>
      </x:c>
      <x:c r="H19" s="142" t="n">
        <x:f>$C19*(('Assumptions'!$B$8*(6*$E19^0+6*$E19^1)+'Assumptions'!$B$9*(10*$E19^0+2*$E19^1))*'Assumptions'!$B$10/12+('Assumptions'!$B$11*(6*$F19^0+6*$F19^1)+'Assumptions'!$B$12*(10*$F19^0+2*$F19^1))*'Assumptions'!$B$13*'Assumptions'!$B$14/12)</x:f>
        <x:v>6383.999999999999</x:v>
      </x:c>
      <x:c r="I19" s="142" t="n">
        <x:f>('Assumptions'!$B$20*$D19*6.5)*'Assumptions'!$B$22</x:f>
        <x:v>10400</x:v>
      </x:c>
      <x:c r="J19" s="142" t="n">
        <x:f>'Assumptions'!$B$23*$D19*6.5*'Assumptions'!$B$25*'Assumptions'!$B$26</x:f>
        <x:v>20800</x:v>
      </x:c>
      <x:c r="K19" s="142" t="n">
        <x:f>'Assumptions'!$B$27*$D19*6.5/12*'Assumptions'!$B$28</x:f>
        <x:v>0</x:v>
      </x:c>
      <x:c r="L19" s="142" t="n">
        <x:f>'Assumptions'!$B$29*$D19*6.5*'Assumptions'!$B$31</x:f>
        <x:v>3900</x:v>
      </x:c>
      <x:c r="M19" s="142" t="n">
        <x:f>('Assumptions'!$B$23+'Assumptions'!$B$27)*$D19*'Assumptions'!$B$32</x:f>
        <x:v>20000</x:v>
      </x:c>
      <x:c r="N19" s="142" t="n">
        <x:f>SUM(H19:M19)</x:f>
        <x:v>61484</x:v>
      </x:c>
      <x:c r="O19" s="142" t="n">
        <x:f>'Assumptions'!$B$37*$D19*6.5*'Assumptions'!$B$38+'Assumptions'!$B$39*$D19*6.5*'Assumptions'!$B$40+'Assumptions'!$B$41*$D19*6.5*'Assumptions'!$B$42+'Assumptions'!$B$43*$D19*6.5*'Assumptions'!$B$44</x:f>
        <x:v>40755</x:v>
      </x:c>
      <x:c r="P19" s="142" t="n">
        <x:f>O19*'Assumptions'!$B$46</x:f>
        <x:v>0</x:v>
      </x:c>
      <x:c r="Q19" s="142" t="n">
        <x:f>(('Assumptions'!$B$37+'Assumptions'!$B$39+'Assumptions'!$B$41)*'Assumptions'!$B$47+'Assumptions'!$B$43*'Assumptions'!$B$48)*$D19</x:f>
        <x:v>18000</x:v>
      </x:c>
      <x:c r="R19" s="144" t="n">
        <x:f>N19+O19+P19+Q19</x:f>
        <x:v>120239</x:v>
      </x:c>
    </x:row>
    <x:row r="20" ht="2" customHeight="1">
      <x:c r="A20" s="141" t="str">
        <x:f>$A$12</x:f>
        <x:v>Base</x:v>
      </x:c>
      <x:c r="B20" s="143" t="n">
        <x:f>2</x:f>
        <x:v>2</x:v>
      </x:c>
      <x:c r="C20" s="218" t="n">
        <x:f>$B$12</x:f>
        <x:v>1</x:v>
      </x:c>
      <x:c r="D20" s="218" t="n">
        <x:f>$D$12</x:f>
        <x:v>1</x:v>
      </x:c>
      <x:c r="E20" s="218" t="n">
        <x:f>$F$12</x:f>
        <x:v>0.6</x:v>
      </x:c>
      <x:c r="F20" s="218" t="n">
        <x:f>$G$12</x:f>
        <x:v>0.9</x:v>
      </x:c>
      <x:c r="G20" s="218" t="n">
        <x:f>$H$12</x:f>
        <x:v>0.7</x:v>
      </x:c>
      <x:c r="H20" s="142" t="n">
        <x:f>$C20*(('Assumptions'!$B$8*(6*$E20^1+6*$E20^2)+'Assumptions'!$B$9*(10*$E20^1+2*$E20^2))*'Assumptions'!$B$10/12+('Assumptions'!$B$11*(6*$F20^1+6*$F20^2)+'Assumptions'!$B$12*(10*$F20^1+2*$F20^2))*'Assumptions'!$B$13*'Assumptions'!$B$14/12)</x:f>
        <x:v>4240.8</x:v>
      </x:c>
      <x:c r="I20" s="142" t="n">
        <x:f>('Assumptions'!$B$20*$D19*$E20*12+'Assumptions'!$C$20*$D20*6.5)*'Assumptions'!$C$22</x:f>
        <x:v>42210</x:v>
      </x:c>
      <x:c r="J20" s="142" t="n">
        <x:f>('Assumptions'!$B$23*$D19*$F20*12+'Assumptions'!$C$23*$D20*6.5)*'Assumptions'!$C$25*'Assumptions'!$C$26</x:f>
        <x:v>81378</x:v>
      </x:c>
      <x:c r="K20" s="142" t="n">
        <x:f>('Assumptions'!$B$27*$D19*$F20*12+'Assumptions'!$C$27*$D20*6.5)/12*'Assumptions'!$C$28</x:f>
        <x:v>10833.333333333332</x:v>
      </x:c>
      <x:c r="L20" s="142" t="n">
        <x:f>('Assumptions'!$B$29*$D19*$G20*12+'Assumptions'!$C$29*$D20*6.5)*'Assumptions'!$C$31</x:f>
        <x:v>22185</x:v>
      </x:c>
      <x:c r="M20" s="142" t="n">
        <x:f>('Assumptions'!$C$23+'Assumptions'!$C$27)*$D20*'Assumptions'!$C$32</x:f>
        <x:v>27900</x:v>
      </x:c>
      <x:c r="N20" s="142" t="n">
        <x:f>SUM(H20:M20)</x:f>
        <x:v>188747.13333333333</x:v>
      </x:c>
      <x:c r="O20" s="142" t="n">
        <x:f>('Assumptions'!$B$37*$D19*$F20*12+'Assumptions'!$C$37*$D20*6.5)*'Assumptions'!$C$38+('Assumptions'!$B$39*$D19*$F20*12+'Assumptions'!$C$39*$D20*6.5)*'Assumptions'!$C$40+('Assumptions'!$B$41*$D19*$F20*12+'Assumptions'!$C$41*$D20*6.5)*'Assumptions'!$C$42+('Assumptions'!$B$43*$D19*$F20*12+'Assumptions'!$C$43*$D20*6.5)*'Assumptions'!$C$44</x:f>
        <x:v>147016</x:v>
      </x:c>
      <x:c r="P20" s="142" t="n">
        <x:f>O20*'Assumptions'!$C$46</x:f>
        <x:v>0</x:v>
      </x:c>
      <x:c r="Q20" s="142" t="n">
        <x:f>(('Assumptions'!$C$37+'Assumptions'!$C$39+'Assumptions'!$C$41)*'Assumptions'!$C$47+'Assumptions'!$C$43*'Assumptions'!$C$48)*$D20</x:f>
        <x:v>29000</x:v>
      </x:c>
      <x:c r="R20" s="144" t="n">
        <x:f>N20+O20+P20+Q20</x:f>
        <x:v>364763.1333333333</x:v>
      </x:c>
    </x:row>
    <x:row r="21" ht="2" customHeight="1">
      <x:c r="A21" s="141" t="str">
        <x:f>$A$12</x:f>
        <x:v>Base</x:v>
      </x:c>
      <x:c r="B21" s="143" t="n">
        <x:f>3</x:f>
        <x:v>3</x:v>
      </x:c>
      <x:c r="C21" s="218" t="n">
        <x:f>$B$12</x:f>
        <x:v>1</x:v>
      </x:c>
      <x:c r="D21" s="218" t="n">
        <x:f>$E$12</x:f>
        <x:v>1</x:v>
      </x:c>
      <x:c r="E21" s="218" t="n">
        <x:f>$F$12</x:f>
        <x:v>0.6</x:v>
      </x:c>
      <x:c r="F21" s="218" t="n">
        <x:f>$G$12</x:f>
        <x:v>0.9</x:v>
      </x:c>
      <x:c r="G21" s="218" t="n">
        <x:f>$H$12</x:f>
        <x:v>0.7</x:v>
      </x:c>
      <x:c r="H21" s="142" t="n">
        <x:f>$C21*(('Assumptions'!$B$8*(6*$E21^2+6*$E21^3)+'Assumptions'!$B$9*(10*$E21^2+2*$E21^3))*'Assumptions'!$B$10/12+('Assumptions'!$B$11*(6*$F21^2+6*$F21^3)+'Assumptions'!$B$12*(10*$F21^2+2*$F21^3))*'Assumptions'!$B$13*'Assumptions'!$B$14/12)</x:f>
        <x:v>2913.84</x:v>
      </x:c>
      <x:c r="I21" s="142" t="n">
        <x:f>('Assumptions'!$B$20*$D19*$E21^2*12+'Assumptions'!$C$20*$D20*$E21*12+'Assumptions'!$D$20*$D21*6.5)*'Assumptions'!$D$22</x:f>
        <x:v>109640</x:v>
      </x:c>
      <x:c r="J21" s="142" t="n">
        <x:f>('Assumptions'!$B$23*$D19*$F21^2*12+'Assumptions'!$C$23*$D20*$F21*12+'Assumptions'!$D$23*$D21*6.5)*'Assumptions'!$D$25*'Assumptions'!$D$26</x:f>
        <x:v>218016</x:v>
      </x:c>
      <x:c r="K21" s="142" t="n">
        <x:f>('Assumptions'!$B$27*$D19*$F21^2*12+'Assumptions'!$C$27*$D20*$F21*12+'Assumptions'!$D$27*$D21*6.5)/12*'Assumptions'!$D$28</x:f>
        <x:v>55550</x:v>
      </x:c>
      <x:c r="L21" s="142" t="n">
        <x:f>('Assumptions'!$B$29*$D19*$G21^2*12+'Assumptions'!$C$29*$D20*$G21*12+'Assumptions'!$D$29*$D21*6.5)*'Assumptions'!$D$31</x:f>
        <x:v>79056</x:v>
      </x:c>
      <x:c r="M21" s="142" t="n">
        <x:f>('Assumptions'!$D$23+'Assumptions'!$D$27)*$D21*'Assumptions'!$D$32</x:f>
        <x:v>47250</x:v>
      </x:c>
      <x:c r="N21" s="142" t="n">
        <x:f>SUM(H21:M21)</x:f>
        <x:v>512425.83999999997</x:v>
      </x:c>
      <x:c r="O21" s="142" t="n">
        <x:f>('Assumptions'!$B$37*$D19*$F21^2*12+'Assumptions'!$C$37*$D20*$F21*12+'Assumptions'!$D$37*$D21*6.5)*'Assumptions'!$D$38+('Assumptions'!$B$39*$D19*$F21^2*12+'Assumptions'!$C$39*$D20*$F21*12+'Assumptions'!$D$39*$D21*6.5)*'Assumptions'!$D$40+('Assumptions'!$B$41*$D19*$F21^2*12+'Assumptions'!$C$41*$D20*$F21*12+'Assumptions'!$D$41*$D21*6.5)*'Assumptions'!$D$42+('Assumptions'!$B$43*$D19*$F21^2*12+'Assumptions'!$C$43*$D20*$F21*12+'Assumptions'!$D$43*$D21*6.5)*'Assumptions'!$D$44</x:f>
        <x:v>368841.4</x:v>
      </x:c>
      <x:c r="P21" s="142" t="n">
        <x:f>O21*'Assumptions'!$D$46</x:f>
        <x:v>11065.242</x:v>
      </x:c>
      <x:c r="Q21" s="142" t="n">
        <x:f>(('Assumptions'!$D$37+'Assumptions'!$D$39+'Assumptions'!$D$41)*'Assumptions'!$D$47+'Assumptions'!$D$43*'Assumptions'!$D$48)*$D21</x:f>
        <x:v>50800</x:v>
      </x:c>
      <x:c r="R21" s="144" t="n">
        <x:f>N21+O21+P21+Q21</x:f>
        <x:v>943132.482</x:v>
      </x:c>
    </x:row>
    <x:row r="22" ht="2" customHeight="1">
      <x:c r="A22" s="141" t="str">
        <x:f>$A$13</x:f>
        <x:v>Upside</x:v>
      </x:c>
      <x:c r="B22" s="143" t="n">
        <x:f>1</x:f>
        <x:v>1</x:v>
      </x:c>
      <x:c r="C22" s="218" t="n">
        <x:f>$B$13</x:f>
        <x:v>1.15</x:v>
      </x:c>
      <x:c r="D22" s="218" t="n">
        <x:f>$C$13</x:f>
        <x:v>1.3</x:v>
      </x:c>
      <x:c r="E22" s="218" t="n">
        <x:f>$F$13</x:f>
        <x:v>0.7</x:v>
      </x:c>
      <x:c r="F22" s="218" t="n">
        <x:f>$G$13</x:f>
        <x:v>0.93</x:v>
      </x:c>
      <x:c r="G22" s="218" t="n">
        <x:f>$H$13</x:f>
        <x:v>0.8</x:v>
      </x:c>
      <x:c r="H22" s="142" t="n">
        <x:f>$C22*(('Assumptions'!$B$8*(6*$E22^0+6*$E22^1)+'Assumptions'!$B$9*(10*$E22^0+2*$E22^1))*'Assumptions'!$B$10/12+('Assumptions'!$B$11*(6*$F22^0+6*$F22^1)+'Assumptions'!$B$12*(10*$F22^0+2*$F22^1))*'Assumptions'!$B$13*'Assumptions'!$B$14/12)</x:f>
        <x:v>7563.090000000001</x:v>
      </x:c>
      <x:c r="I22" s="142" t="n">
        <x:f>('Assumptions'!$B$20*$D22*6.5)*'Assumptions'!$B$22</x:f>
        <x:v>13520</x:v>
      </x:c>
      <x:c r="J22" s="142" t="n">
        <x:f>'Assumptions'!$B$23*$D22*6.5*'Assumptions'!$B$25*'Assumptions'!$B$26</x:f>
        <x:v>27040</x:v>
      </x:c>
      <x:c r="K22" s="142" t="n">
        <x:f>'Assumptions'!$B$27*$D22*6.5/12*'Assumptions'!$B$28</x:f>
        <x:v>0</x:v>
      </x:c>
      <x:c r="L22" s="142" t="n">
        <x:f>'Assumptions'!$B$29*$D22*6.5*'Assumptions'!$B$31</x:f>
        <x:v>5070</x:v>
      </x:c>
      <x:c r="M22" s="142" t="n">
        <x:f>('Assumptions'!$B$23+'Assumptions'!$B$27)*$D22*'Assumptions'!$B$32</x:f>
        <x:v>26000</x:v>
      </x:c>
      <x:c r="N22" s="142" t="n">
        <x:f>SUM(H22:M22)</x:f>
        <x:v>79193.09</x:v>
      </x:c>
      <x:c r="O22" s="142" t="n">
        <x:f>'Assumptions'!$B$37*$D22*6.5*'Assumptions'!$B$38+'Assumptions'!$B$39*$D22*6.5*'Assumptions'!$B$40+'Assumptions'!$B$41*$D22*6.5*'Assumptions'!$B$42+'Assumptions'!$B$43*$D22*6.5*'Assumptions'!$B$44</x:f>
        <x:v>52981.50000000001</x:v>
      </x:c>
      <x:c r="P22" s="142" t="n">
        <x:f>O22*'Assumptions'!$B$46</x:f>
        <x:v>0</x:v>
      </x:c>
      <x:c r="Q22" s="142" t="n">
        <x:f>(('Assumptions'!$B$37+'Assumptions'!$B$39+'Assumptions'!$B$41)*'Assumptions'!$B$47+'Assumptions'!$B$43*'Assumptions'!$B$48)*$D22</x:f>
        <x:v>23400</x:v>
      </x:c>
      <x:c r="R22" s="144" t="n">
        <x:f>N22+O22+P22+Q22</x:f>
        <x:v>155574.59</x:v>
      </x:c>
    </x:row>
    <x:row r="23" ht="2" customHeight="1">
      <x:c r="A23" s="141" t="str">
        <x:f>$A$13</x:f>
        <x:v>Upside</x:v>
      </x:c>
      <x:c r="B23" s="143" t="n">
        <x:f>2</x:f>
        <x:v>2</x:v>
      </x:c>
      <x:c r="C23" s="218" t="n">
        <x:f>$B$13</x:f>
        <x:v>1.15</x:v>
      </x:c>
      <x:c r="D23" s="218" t="n">
        <x:f>$D$13</x:f>
        <x:v>1.35</x:v>
      </x:c>
      <x:c r="E23" s="218" t="n">
        <x:f>$F$13</x:f>
        <x:v>0.7</x:v>
      </x:c>
      <x:c r="F23" s="218" t="n">
        <x:f>$G$13</x:f>
        <x:v>0.93</x:v>
      </x:c>
      <x:c r="G23" s="218" t="n">
        <x:f>$H$13</x:f>
        <x:v>0.8</x:v>
      </x:c>
      <x:c r="H23" s="142" t="n">
        <x:f>$C23*(('Assumptions'!$B$8*(6*$E23^1+6*$E23^2)+'Assumptions'!$B$9*(10*$E23^1+2*$E23^2))*'Assumptions'!$B$10/12+('Assumptions'!$B$11*(6*$F23^1+6*$F23^2)+'Assumptions'!$B$12*(10*$F23^1+2*$F23^2))*'Assumptions'!$B$13*'Assumptions'!$B$14/12)</x:f>
        <x:v>5661.712199999999</x:v>
      </x:c>
      <x:c r="I23" s="142" t="n">
        <x:f>('Assumptions'!$B$20*$D22*$E23*12+'Assumptions'!$C$20*$D23*6.5)*'Assumptions'!$C$22</x:f>
        <x:v>59143.5</x:v>
      </x:c>
      <x:c r="J23" s="142" t="n">
        <x:f>('Assumptions'!$B$23*$D22*$F23*12+'Assumptions'!$C$23*$D23*6.5)*'Assumptions'!$C$25*'Assumptions'!$C$26</x:f>
        <x:v>109575.18</x:v>
      </x:c>
      <x:c r="K23" s="142" t="n">
        <x:f>('Assumptions'!$B$27*$D22*$F23*12+'Assumptions'!$C$27*$D23*6.5)/12*'Assumptions'!$C$28</x:f>
        <x:v>14625.000000000002</x:v>
      </x:c>
      <x:c r="L23" s="142" t="n">
        <x:f>('Assumptions'!$B$29*$D22*$G23*12+'Assumptions'!$C$29*$D23*6.5)*'Assumptions'!$C$31</x:f>
        <x:v>30975.75</x:v>
      </x:c>
      <x:c r="M23" s="142" t="n">
        <x:f>('Assumptions'!$C$23+'Assumptions'!$C$27)*$D23*'Assumptions'!$C$32</x:f>
        <x:v>37665</x:v>
      </x:c>
      <x:c r="N23" s="142" t="n">
        <x:f>SUM(H23:M23)</x:f>
        <x:v>257646.1422</x:v>
      </x:c>
      <x:c r="O23" s="142" t="n">
        <x:f>('Assumptions'!$B$37*$D22*$F23*12+'Assumptions'!$C$37*$D23*6.5)*'Assumptions'!$C$38+('Assumptions'!$B$39*$D22*$F23*12+'Assumptions'!$C$39*$D23*6.5)*'Assumptions'!$C$40+('Assumptions'!$B$41*$D22*$F23*12+'Assumptions'!$C$41*$D23*6.5)*'Assumptions'!$C$42+('Assumptions'!$B$43*$D22*$F23*12+'Assumptions'!$C$43*$D23*6.5)*'Assumptions'!$C$44</x:f>
        <x:v>198020.15999999997</x:v>
      </x:c>
      <x:c r="P23" s="142" t="n">
        <x:f>O23*'Assumptions'!$C$46</x:f>
        <x:v>0</x:v>
      </x:c>
      <x:c r="Q23" s="142" t="n">
        <x:f>(('Assumptions'!$C$37+'Assumptions'!$C$39+'Assumptions'!$C$41)*'Assumptions'!$C$47+'Assumptions'!$C$43*'Assumptions'!$C$48)*$D23</x:f>
        <x:v>39150</x:v>
      </x:c>
      <x:c r="R23" s="144" t="n">
        <x:f>N23+O23+P23+Q23</x:f>
        <x:v>494816.3022</x:v>
      </x:c>
    </x:row>
    <x:row r="24" ht="2" customHeight="1">
      <x:c r="A24" s="141" t="str">
        <x:f>$A$13</x:f>
        <x:v>Upside</x:v>
      </x:c>
      <x:c r="B24" s="143" t="n">
        <x:f>3</x:f>
        <x:v>3</x:v>
      </x:c>
      <x:c r="C24" s="218" t="n">
        <x:f>$B$13</x:f>
        <x:v>1.15</x:v>
      </x:c>
      <x:c r="D24" s="218" t="n">
        <x:f>$E$13</x:f>
        <x:v>1.4</x:v>
      </x:c>
      <x:c r="E24" s="218" t="n">
        <x:f>$F$13</x:f>
        <x:v>0.7</x:v>
      </x:c>
      <x:c r="F24" s="218" t="n">
        <x:f>$G$13</x:f>
        <x:v>0.93</x:v>
      </x:c>
      <x:c r="G24" s="218" t="n">
        <x:f>$H$13</x:f>
        <x:v>0.8</x:v>
      </x:c>
      <x:c r="H24" s="142" t="n">
        <x:f>$C24*(('Assumptions'!$B$8*(6*$E24^2+6*$E24^3)+'Assumptions'!$B$9*(10*$E24^2+2*$E24^3))*'Assumptions'!$B$10/12+('Assumptions'!$B$11*(6*$F24^2+6*$F24^3)+'Assumptions'!$B$12*(10*$F24^2+2*$F24^3))*'Assumptions'!$B$13*'Assumptions'!$B$14/12)</x:f>
        <x:v>4305.0192959999995</x:v>
      </x:c>
      <x:c r="I24" s="142" t="n">
        <x:f>('Assumptions'!$B$20*$D22*$E24^2*12+'Assumptions'!$C$20*$D23*$E24*12+'Assumptions'!$D$20*$D24*6.5)*'Assumptions'!$D$22</x:f>
        <x:v>162988</x:v>
      </x:c>
      <x:c r="J24" s="142" t="n">
        <x:f>('Assumptions'!$B$23*$D22*$F24^2*12+'Assumptions'!$C$23*$D23*$F24*12+'Assumptions'!$D$23*$D24*6.5)*'Assumptions'!$D$25*'Assumptions'!$D$26</x:f>
        <x:v>304278.912</x:v>
      </x:c>
      <x:c r="K24" s="142" t="n">
        <x:f>('Assumptions'!$B$27*$D22*$F24^2*12+'Assumptions'!$C$27*$D23*$F24*12+'Assumptions'!$D$27*$D24*6.5)/12*'Assumptions'!$D$28</x:f>
        <x:v>77671</x:v>
      </x:c>
      <x:c r="L24" s="142" t="n">
        <x:f>('Assumptions'!$B$29*$D22*$G24^2*12+'Assumptions'!$C$29*$D23*$G24*12+'Assumptions'!$D$29*$D24*6.5)*'Assumptions'!$D$31</x:f>
        <x:v>116380.8</x:v>
      </x:c>
      <x:c r="M24" s="142" t="n">
        <x:f>('Assumptions'!$D$23+'Assumptions'!$D$27)*$D24*'Assumptions'!$D$32</x:f>
        <x:v>66149.99999999999</x:v>
      </x:c>
      <x:c r="N24" s="142" t="n">
        <x:f>SUM(H24:M24)</x:f>
        <x:v>731773.7312960001</x:v>
      </x:c>
      <x:c r="O24" s="142" t="n">
        <x:f>('Assumptions'!$B$37*$D22*$F24^2*12+'Assumptions'!$C$37*$D23*$F24*12+'Assumptions'!$D$37*$D24*6.5)*'Assumptions'!$D$38+('Assumptions'!$B$39*$D22*$F24^2*12+'Assumptions'!$C$39*$D23*$F24*12+'Assumptions'!$D$39*$D24*6.5)*'Assumptions'!$D$40+('Assumptions'!$B$41*$D22*$F24^2*12+'Assumptions'!$C$41*$D23*$F24*12+'Assumptions'!$D$41*$D24*6.5)*'Assumptions'!$D$42+('Assumptions'!$B$43*$D22*$F24^2*12+'Assumptions'!$C$43*$D23*$F24*12+'Assumptions'!$D$43*$D24*6.5)*'Assumptions'!$D$44</x:f>
        <x:v>514994.5988</x:v>
      </x:c>
      <x:c r="P24" s="142" t="n">
        <x:f>O24*'Assumptions'!$D$46</x:f>
        <x:v>15449.837963999998</x:v>
      </x:c>
      <x:c r="Q24" s="142" t="n">
        <x:f>(('Assumptions'!$D$37+'Assumptions'!$D$39+'Assumptions'!$D$41)*'Assumptions'!$D$47+'Assumptions'!$D$43*'Assumptions'!$D$48)*$D24</x:f>
        <x:v>71120</x:v>
      </x:c>
      <x:c r="R24" s="144" t="n">
        <x:f>N24+O24+P24+Q24</x:f>
        <x:v>1333338.16806</x:v>
      </x:c>
    </x:row>
    <x:row r="25" ht="2" customHeight="1">
      <x:c r="A25" s="219" t="str">
        <x:f>$A$14</x:f>
        <x:v>Marketing-backed</x:v>
      </x:c>
      <x:c r="B25" s="220" t="n">
        <x:f>1</x:f>
        <x:v>1</x:v>
      </x:c>
      <x:c r="C25" s="221" t="n">
        <x:f>$B$14</x:f>
        <x:v>1</x:v>
      </x:c>
      <x:c r="D25" s="221" t="n">
        <x:f>$C$14</x:f>
        <x:v>1.2</x:v>
      </x:c>
      <x:c r="E25" s="221" t="n">
        <x:f>$F$14</x:f>
        <x:v>0.6</x:v>
      </x:c>
      <x:c r="F25" s="221" t="n">
        <x:f>$G$14</x:f>
        <x:v>0.9</x:v>
      </x:c>
      <x:c r="G25" s="221" t="n">
        <x:f>$H$14</x:f>
        <x:v>0.7</x:v>
      </x:c>
      <x:c r="H25" s="222" t="n">
        <x:f>$C25*(('Assumptions'!$B$8*(6*$E25^0+6*$E25^1)+'Assumptions'!$B$9*(10*$E25^0+2*$E25^1))*'Assumptions'!$B$10/12+('Assumptions'!$B$11*(6*$F25^0+6*$F25^1)+'Assumptions'!$B$12*(10*$F25^0+2*$F25^1))*'Assumptions'!$B$13*'Assumptions'!$B$14/12)</x:f>
        <x:v>6383.999999999999</x:v>
      </x:c>
      <x:c r="I25" s="222" t="n">
        <x:f>('Assumptions'!$B$20*$D25*6.5)*'Assumptions'!$B$22</x:f>
        <x:v>12480</x:v>
      </x:c>
      <x:c r="J25" s="222" t="n">
        <x:f>'Assumptions'!$B$23*$D25*6.5*'Assumptions'!$B$25*'Assumptions'!$B$26</x:f>
        <x:v>24960</x:v>
      </x:c>
      <x:c r="K25" s="222" t="n">
        <x:f>'Assumptions'!$B$27*$D25*6.5/12*'Assumptions'!$B$28</x:f>
        <x:v>0</x:v>
      </x:c>
      <x:c r="L25" s="222" t="n">
        <x:f>'Assumptions'!$B$29*$D25*6.5*'Assumptions'!$B$31</x:f>
        <x:v>4680</x:v>
      </x:c>
      <x:c r="M25" s="222" t="n">
        <x:f>('Assumptions'!$B$23+'Assumptions'!$B$27)*$D25*'Assumptions'!$B$32</x:f>
        <x:v>24000</x:v>
      </x:c>
      <x:c r="N25" s="222" t="n">
        <x:f>SUM(H25:M25)</x:f>
        <x:v>72504</x:v>
      </x:c>
      <x:c r="O25" s="222" t="n">
        <x:f>'Assumptions'!$B$37*$D25*6.5*'Assumptions'!$B$38+'Assumptions'!$B$39*$D25*6.5*'Assumptions'!$B$40+'Assumptions'!$B$41*$D25*6.5*'Assumptions'!$B$42+'Assumptions'!$B$43*$D25*6.5*'Assumptions'!$B$44</x:f>
        <x:v>48905.99999999999</x:v>
      </x:c>
      <x:c r="P25" s="222" t="n">
        <x:f>O25*'Assumptions'!$B$46</x:f>
        <x:v>0</x:v>
      </x:c>
      <x:c r="Q25" s="222" t="n">
        <x:f>(('Assumptions'!$B$37+'Assumptions'!$B$39+'Assumptions'!$B$41)*'Assumptions'!$B$47+'Assumptions'!$B$43*'Assumptions'!$B$48)*$D25</x:f>
        <x:v>21600</x:v>
      </x:c>
      <x:c r="R25" s="223" t="n">
        <x:f>N25+O25+P25+Q25</x:f>
        <x:v>143010</x:v>
      </x:c>
    </x:row>
    <x:row r="26" ht="2" customHeight="1">
      <x:c r="A26" s="219" t="str">
        <x:f>$A$14</x:f>
        <x:v>Marketing-backed</x:v>
      </x:c>
      <x:c r="B26" s="220" t="n">
        <x:f>2</x:f>
        <x:v>2</x:v>
      </x:c>
      <x:c r="C26" s="221" t="n">
        <x:f>$B$14</x:f>
        <x:v>1</x:v>
      </x:c>
      <x:c r="D26" s="221" t="n">
        <x:f>$D$14</x:f>
        <x:v>1.25</x:v>
      </x:c>
      <x:c r="E26" s="221" t="n">
        <x:f>$F$14</x:f>
        <x:v>0.6</x:v>
      </x:c>
      <x:c r="F26" s="221" t="n">
        <x:f>$G$14</x:f>
        <x:v>0.9</x:v>
      </x:c>
      <x:c r="G26" s="221" t="n">
        <x:f>$H$14</x:f>
        <x:v>0.7</x:v>
      </x:c>
      <x:c r="H26" s="222" t="n">
        <x:f>$C26*(('Assumptions'!$B$8*(6*$E26^1+6*$E26^2)+'Assumptions'!$B$9*(10*$E26^1+2*$E26^2))*'Assumptions'!$B$10/12+('Assumptions'!$B$11*(6*$F26^1+6*$F26^2)+'Assumptions'!$B$12*(10*$F26^1+2*$F26^2))*'Assumptions'!$B$13*'Assumptions'!$B$14/12)</x:f>
        <x:v>4240.8</x:v>
      </x:c>
      <x:c r="I26" s="222" t="n">
        <x:f>('Assumptions'!$B$20*$D25*$E26*12+'Assumptions'!$C$20*$D26*6.5)*'Assumptions'!$C$22</x:f>
        <x:v>52114.5</x:v>
      </x:c>
      <x:c r="J26" s="222" t="n">
        <x:f>('Assumptions'!$B$23*$D25*$F26*12+'Assumptions'!$C$23*$D26*6.5)*'Assumptions'!$C$25*'Assumptions'!$C$26</x:f>
        <x:v>99584.1</x:v>
      </x:c>
      <x:c r="K26" s="222" t="n">
        <x:f>('Assumptions'!$B$27*$D25*$F26*12+'Assumptions'!$C$27*$D26*6.5)/12*'Assumptions'!$C$28</x:f>
        <x:v>13541.666666666668</x:v>
      </x:c>
      <x:c r="L26" s="222" t="n">
        <x:f>('Assumptions'!$B$29*$D25*$G26*12+'Assumptions'!$C$29*$D26*6.5)*'Assumptions'!$C$31</x:f>
        <x:v>27353.249999999996</x:v>
      </x:c>
      <x:c r="M26" s="222" t="n">
        <x:f>('Assumptions'!$C$23+'Assumptions'!$C$27)*$D26*'Assumptions'!$C$32</x:f>
        <x:v>34875</x:v>
      </x:c>
      <x:c r="N26" s="222" t="n">
        <x:f>SUM(H26:M26)</x:f>
        <x:v>231709.31666666668</x:v>
      </x:c>
      <x:c r="O26" s="222" t="n">
        <x:f>('Assumptions'!$B$37*$D25*$F26*12+'Assumptions'!$C$37*$D26*6.5)*'Assumptions'!$C$38+('Assumptions'!$B$39*$D25*$F26*12+'Assumptions'!$C$39*$D26*6.5)*'Assumptions'!$C$40+('Assumptions'!$B$41*$D25*$F26*12+'Assumptions'!$C$41*$D26*6.5)*'Assumptions'!$C$42+('Assumptions'!$B$43*$D25*$F26*12+'Assumptions'!$C$43*$D26*6.5)*'Assumptions'!$C$44</x:f>
        <x:v>180384.19999999998</x:v>
      </x:c>
      <x:c r="P26" s="222" t="n">
        <x:f>O26*'Assumptions'!$C$46</x:f>
        <x:v>0</x:v>
      </x:c>
      <x:c r="Q26" s="222" t="n">
        <x:f>(('Assumptions'!$C$37+'Assumptions'!$C$39+'Assumptions'!$C$41)*'Assumptions'!$C$47+'Assumptions'!$C$43*'Assumptions'!$C$48)*$D26</x:f>
        <x:v>36250</x:v>
      </x:c>
      <x:c r="R26" s="223" t="n">
        <x:f>N26+O26+P26+Q26</x:f>
        <x:v>448343.51666666666</x:v>
      </x:c>
    </x:row>
    <x:row r="27" ht="2" customHeight="1">
      <x:c r="A27" s="224" t="str">
        <x:f>$A$14</x:f>
        <x:v>Marketing-backed</x:v>
      </x:c>
      <x:c r="B27" s="225" t="n">
        <x:f>3</x:f>
        <x:v>3</x:v>
      </x:c>
      <x:c r="C27" s="226" t="n">
        <x:f>$B$14</x:f>
        <x:v>1</x:v>
      </x:c>
      <x:c r="D27" s="226" t="n">
        <x:f>$E$14</x:f>
        <x:v>1.3</x:v>
      </x:c>
      <x:c r="E27" s="226" t="n">
        <x:f>$F$14</x:f>
        <x:v>0.6</x:v>
      </x:c>
      <x:c r="F27" s="226" t="n">
        <x:f>$G$14</x:f>
        <x:v>0.9</x:v>
      </x:c>
      <x:c r="G27" s="226" t="n">
        <x:f>$H$14</x:f>
        <x:v>0.7</x:v>
      </x:c>
      <x:c r="H27" s="227" t="n">
        <x:f>$C27*(('Assumptions'!$B$8*(6*$E27^2+6*$E27^3)+'Assumptions'!$B$9*(10*$E27^2+2*$E27^3))*'Assumptions'!$B$10/12+('Assumptions'!$B$11*(6*$F27^2+6*$F27^3)+'Assumptions'!$B$12*(10*$F27^2+2*$F27^3))*'Assumptions'!$B$13*'Assumptions'!$B$14/12)</x:f>
        <x:v>2913.84</x:v>
      </x:c>
      <x:c r="I27" s="227" t="n">
        <x:f>('Assumptions'!$B$20*$D25*$E27^2*12+'Assumptions'!$C$20*$D26*$E27*12+'Assumptions'!$D$20*$D27*6.5)*'Assumptions'!$D$22</x:f>
        <x:v>139868</x:v>
      </x:c>
      <x:c r="J27" s="227" t="n">
        <x:f>('Assumptions'!$B$23*$D25*$F27^2*12+'Assumptions'!$C$23*$D26*$F27*12+'Assumptions'!$D$23*$D27*6.5)*'Assumptions'!$D$25*'Assumptions'!$D$26</x:f>
        <x:v>274867.19999999995</x:v>
      </x:c>
      <x:c r="K27" s="227" t="n">
        <x:f>('Assumptions'!$B$27*$D25*$F27^2*12+'Assumptions'!$C$27*$D26*$F27*12+'Assumptions'!$D$27*$D27*6.5)/12*'Assumptions'!$D$28</x:f>
        <x:v>71225</x:v>
      </x:c>
      <x:c r="L27" s="227" t="n">
        <x:f>('Assumptions'!$B$29*$D25*$G27^2*12+'Assumptions'!$C$29*$D26*$G27*12+'Assumptions'!$D$29*$D27*6.5)*'Assumptions'!$D$31</x:f>
        <x:v>100807.2</x:v>
      </x:c>
      <x:c r="M27" s="227" t="n">
        <x:f>('Assumptions'!$D$23+'Assumptions'!$D$27)*$D27*'Assumptions'!$D$32</x:f>
        <x:v>61425.00000000001</x:v>
      </x:c>
      <x:c r="N27" s="227" t="n">
        <x:f>SUM(H27:M27)</x:f>
        <x:v>651106.2399999999</x:v>
      </x:c>
      <x:c r="O27" s="227" t="n">
        <x:f>('Assumptions'!$B$37*$D25*$F27^2*12+'Assumptions'!$C$37*$D26*$F27*12+'Assumptions'!$D$37*$D27*6.5)*'Assumptions'!$D$38+('Assumptions'!$B$39*$D25*$F27^2*12+'Assumptions'!$C$39*$D26*$F27*12+'Assumptions'!$D$39*$D27*6.5)*'Assumptions'!$D$40+('Assumptions'!$B$41*$D25*$F27^2*12+'Assumptions'!$C$41*$D26*$F27*12+'Assumptions'!$D$41*$D27*6.5)*'Assumptions'!$D$42+('Assumptions'!$B$43*$D25*$F27^2*12+'Assumptions'!$C$43*$D26*$F27*12+'Assumptions'!$D$43*$D27*6.5)*'Assumptions'!$D$44</x:f>
        <x:v>466811.38</x:v>
      </x:c>
      <x:c r="P27" s="227" t="n">
        <x:f>O27*'Assumptions'!$D$46</x:f>
        <x:v>14004.3414</x:v>
      </x:c>
      <x:c r="Q27" s="227" t="n">
        <x:f>(('Assumptions'!$D$37+'Assumptions'!$D$39+'Assumptions'!$D$41)*'Assumptions'!$D$47+'Assumptions'!$D$43*'Assumptions'!$D$48)*$D27</x:f>
        <x:v>66040</x:v>
      </x:c>
      <x:c r="R27" s="228" t="n">
        <x:f>N27+O27+P27+Q27</x:f>
        <x:v>1197961.9614</x:v>
      </x:c>
    </x:row>
  </x:sheetData>
  <x:mergeCells>
    <x:mergeCell ref="A1:R1"/>
    <x:mergeCell ref="A2:R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8" hidden="0" customWidth="1"/>
    <x:col min="3" max="3" width="18" hidden="0" customWidth="1"/>
    <x:col min="4" max="4" width="18" hidden="0" customWidth="1"/>
    <x:col min="5" max="5" width="12" hidden="0" customWidth="1"/>
    <x:col min="6" max="6" width="30" hidden="0" customWidth="1"/>
  </x:cols>
  <x:sheetData>
    <x:row r="1" ht="28" customHeight="1">
      <x:c r="A1" s="19" t="str">
        <x:v>Model Checks</x:v>
      </x:c>
      <x:c r="B1" s="19" t="str">
        <x:v>Model Checks</x:v>
      </x:c>
      <x:c r="C1" s="19" t="str">
        <x:v>Model Checks</x:v>
      </x:c>
      <x:c r="D1" s="19" t="str">
        <x:v>Model Checks</x:v>
      </x:c>
      <x:c r="E1" s="19" t="str">
        <x:v>Model Checks</x:v>
      </x:c>
      <x:c r="F1" s="19" t="str">
        <x:v>Model Checks</x:v>
      </x:c>
    </x:row>
    <x:row r="2" ht="25" customHeight="1">
      <x:c r="A2" s="20" t="str">
        <x:v>Formula integrity, cohort reconciliation, and revenue roll-forward tests</x:v>
      </x:c>
      <x:c r="B2" s="20" t="str">
        <x:v>PASS means the workbook reconciles mechanically; market assumptions remain subject to signed Beta contracts and renewal evidence.</x:v>
      </x:c>
      <x:c r="C2" s="20" t="str">
        <x:v>PASS means the workbook reconciles mechanically; market assumptions remain subject to signed Beta contracts and renewal evidence.</x:v>
      </x:c>
      <x:c r="D2" s="20" t="str">
        <x:v>PASS means the workbook reconciles mechanically; market assumptions remain subject to signed Beta contracts and renewal evidence.</x:v>
      </x:c>
      <x:c r="E2" s="20" t="str">
        <x:v>PASS means the workbook reconciles mechanically; market assumptions remain subject to signed Beta contracts and renewal evidence.</x:v>
      </x:c>
      <x:c r="F2" s="20" t="str">
        <x:v>PASS means the workbook reconciles mechanically; market assumptions remain subject to signed Beta contracts and renewal evidence.</x:v>
      </x:c>
    </x:row>
    <x:row r="3">
      <x:c r="A3" s="29"/>
      <x:c r="B3" s="29"/>
      <x:c r="C3" s="29"/>
      <x:c r="D3" s="29"/>
      <x:c r="E3" s="29"/>
      <x:c r="F3" s="29"/>
    </x:row>
    <x:row r="4" ht="27" customHeight="1">
      <x:c r="A4" s="22" t="str">
        <x:v>Check</x:v>
      </x:c>
      <x:c r="B4" s="22" t="str">
        <x:v>Actual</x:v>
      </x:c>
      <x:c r="C4" s="22" t="str">
        <x:v>Expected</x:v>
      </x:c>
      <x:c r="D4" s="22" t="str">
        <x:v>Delta</x:v>
      </x:c>
      <x:c r="E4" s="22" t="str">
        <x:v>Status</x:v>
      </x:c>
      <x:c r="F4" s="22" t="str">
        <x:v>Where to fix</x:v>
      </x:c>
    </x:row>
    <x:row r="5">
      <x:c r="A5" s="29" t="str">
        <x:v>Beta exit individuals</x:v>
      </x:c>
      <x:c r="B5" s="75" t="n">
        <x:f>'Beta Plan'!D10</x:f>
        <x:v>30</x:v>
      </x:c>
      <x:c r="C5" s="75" t="n">
        <x:v>30</x:v>
      </x:c>
      <x:c r="D5" s="75" t="n">
        <x:f>B5-C5</x:f>
        <x:v>0</x:v>
      </x:c>
      <x:c r="E5" s="29" t="str">
        <x:f>IF(ABS(D5)&lt;0.01,"PASS","FAIL")</x:f>
        <x:v>PASS</x:v>
      </x:c>
      <x:c r="F5" s="29" t="str">
        <x:v>Beta Plan / Assumptions</x:v>
      </x:c>
    </x:row>
    <x:row r="6">
      <x:c r="A6" s="29" t="str">
        <x:v>Beta exit team workspaces</x:v>
      </x:c>
      <x:c r="B6" s="75" t="n">
        <x:f>'Beta Plan'!H10</x:f>
        <x:v>2</x:v>
      </x:c>
      <x:c r="C6" s="75" t="n">
        <x:v>2</x:v>
      </x:c>
      <x:c r="D6" s="75" t="n">
        <x:f>B6-C6</x:f>
        <x:v>0</x:v>
      </x:c>
      <x:c r="E6" s="29" t="str">
        <x:f>IF(ABS(D6)&lt;0.01,"PASS","FAIL")</x:f>
        <x:v>PASS</x:v>
      </x:c>
      <x:c r="F6" s="29" t="str">
        <x:v>Beta Plan / Assumptions</x:v>
      </x:c>
    </x:row>
    <x:row r="7">
      <x:c r="A7" s="29" t="str">
        <x:v>Beta cash bookings</x:v>
      </x:c>
      <x:c r="B7" s="76" t="n">
        <x:f>'Beta Plan'!L12</x:f>
        <x:v>7140</x:v>
      </x:c>
      <x:c r="C7" s="76" t="n">
        <x:v>7140</x:v>
      </x:c>
      <x:c r="D7" s="76" t="n">
        <x:f>B7-C7</x:f>
        <x:v>0</x:v>
      </x:c>
      <x:c r="E7" s="29" t="str">
        <x:f>IF(ABS(D7)&lt;0.01,"PASS","FAIL")</x:f>
        <x:v>PASS</x:v>
      </x:c>
      <x:c r="F7" s="29" t="str">
        <x:v>Beta Plan</x:v>
      </x:c>
    </x:row>
    <x:row r="8">
      <x:c r="A8" s="29" t="str">
        <x:v>Beta recognized revenue</x:v>
      </x:c>
      <x:c r="B8" s="76" t="n">
        <x:f>'Beta Plan'!M12</x:f>
        <x:v>2430</x:v>
      </x:c>
      <x:c r="C8" s="76" t="n">
        <x:v>2430</x:v>
      </x:c>
      <x:c r="D8" s="76" t="n">
        <x:f>B8-C8</x:f>
        <x:v>0</x:v>
      </x:c>
      <x:c r="E8" s="29" t="str">
        <x:f>IF(ABS(D8)&lt;0.01,"PASS","FAIL")</x:f>
        <x:v>PASS</x:v>
      </x:c>
      <x:c r="F8" s="29" t="str">
        <x:v>Beta Plan</x:v>
      </x:c>
    </x:row>
    <x:row r="9">
      <x:c r="A9" s="29" t="str">
        <x:v>Total MIMAR revenue equals Core + Engage — Y1</x:v>
      </x:c>
      <x:c r="B9" s="76" t="n">
        <x:f>'Executive Summary'!B21</x:f>
        <x:v>120239</x:v>
      </x:c>
      <x:c r="C9" s="76" t="n">
        <x:f>'Executive Summary'!B11+'Executive Summary'!B19</x:f>
        <x:v>120239</x:v>
      </x:c>
      <x:c r="D9" s="76" t="n">
        <x:f>B9-C9</x:f>
        <x:v>0</x:v>
      </x:c>
      <x:c r="E9" s="29" t="str">
        <x:f>IF(ABS(D9)&lt;0.01,"PASS","FAIL")</x:f>
        <x:v>PASS</x:v>
      </x:c>
      <x:c r="F9" s="29" t="str">
        <x:v>Executive Summary</x:v>
      </x:c>
    </x:row>
    <x:row r="10">
      <x:c r="A10" s="29" t="str">
        <x:v>Total MIMAR revenue equals Core + Engage — Y2</x:v>
      </x:c>
      <x:c r="B10" s="76" t="n">
        <x:f>'Executive Summary'!C21</x:f>
        <x:v>364763.1333333333</x:v>
      </x:c>
      <x:c r="C10" s="76" t="n">
        <x:f>'Executive Summary'!C11+'Executive Summary'!C19</x:f>
        <x:v>364763.1333333333</x:v>
      </x:c>
      <x:c r="D10" s="76" t="n">
        <x:f>B10-C10</x:f>
        <x:v>0</x:v>
      </x:c>
      <x:c r="E10" s="29" t="str">
        <x:f>IF(ABS(D10)&lt;0.01,"PASS","FAIL")</x:f>
        <x:v>PASS</x:v>
      </x:c>
      <x:c r="F10" s="29" t="str">
        <x:v>Executive Summary</x:v>
      </x:c>
    </x:row>
    <x:row r="11">
      <x:c r="A11" s="29" t="str">
        <x:v>Total MIMAR revenue equals Core + Engage — Y3</x:v>
      </x:c>
      <x:c r="B11" s="76" t="n">
        <x:f>'Executive Summary'!D21</x:f>
        <x:v>943132.482</x:v>
      </x:c>
      <x:c r="C11" s="76" t="n">
        <x:f>'Executive Summary'!D11+'Executive Summary'!D19</x:f>
        <x:v>943132.482</x:v>
      </x:c>
      <x:c r="D11" s="76" t="n">
        <x:f>B11-C11</x:f>
        <x:v>0</x:v>
      </x:c>
      <x:c r="E11" s="29" t="str">
        <x:f>IF(ABS(D11)&lt;0.01,"PASS","FAIL")</x:f>
        <x:v>PASS</x:v>
      </x:c>
      <x:c r="F11" s="29" t="str">
        <x:v>Executive Summary</x:v>
      </x:c>
    </x:row>
    <x:row r="12">
      <x:c r="A12" s="29" t="str">
        <x:v>End Y1 teams = Beta retained + Y1 new</x:v>
      </x:c>
      <x:c r="B12" s="76" t="n">
        <x:f>'Cohort Bridge'!E6</x:f>
        <x:v>21.8</x:v>
      </x:c>
      <x:c r="C12" s="76" t="n">
        <x:f>'Cohort Bridge'!C6*'Cohort Bridge'!B6+'Cohort Bridge'!D6</x:f>
        <x:v>21.8</x:v>
      </x:c>
      <x:c r="D12" s="76" t="n">
        <x:f>B12-C12</x:f>
        <x:v>0</x:v>
      </x:c>
      <x:c r="E12" s="29" t="str">
        <x:f>IF(ABS(D12)&lt;0.01,"PASS","FAIL")</x:f>
        <x:v>PASS</x:v>
      </x:c>
      <x:c r="F12" s="29" t="str">
        <x:v>Cohort Bridge</x:v>
      </x:c>
    </x:row>
    <x:row r="13">
      <x:c r="A13" s="29" t="str">
        <x:v>End Y3 teams compounds all cohorts</x:v>
      </x:c>
      <x:c r="B13" s="76" t="n">
        <x:f>'Cohort Bridge'!I6</x:f>
        <x:v>104.658</x:v>
      </x:c>
      <x:c r="C13" s="76" t="n">
        <x:f>'Cohort Bridge'!C6*'Cohort Bridge'!B6^3+'Cohort Bridge'!D6*'Cohort Bridge'!B6^2+'Cohort Bridge'!F6*'Cohort Bridge'!B6+'Cohort Bridge'!H6</x:f>
        <x:v>104.658</x:v>
      </x:c>
      <x:c r="D13" s="76" t="n">
        <x:f>B13-C13</x:f>
        <x:v>0</x:v>
      </x:c>
      <x:c r="E13" s="29" t="str">
        <x:f>IF(ABS(D13)&lt;0.01,"PASS","FAIL")</x:f>
        <x:v>PASS</x:v>
      </x:c>
      <x:c r="F13" s="29" t="str">
        <x:v>Cohort Bridge</x:v>
      </x:c>
    </x:row>
    <x:row r="14">
      <x:c r="A14" s="29" t="str">
        <x:v>Exit ARR equals ending MRR × 12 — Y3</x:v>
      </x:c>
      <x:c r="B14" s="76" t="n">
        <x:f>'Executive Summary'!D23</x:f>
        <x:v>1202009.772</x:v>
      </x:c>
      <x:c r="C14" s="76" t="n">
        <x:f>'Executive Summary'!D22*12</x:f>
        <x:v>1202009.772</x:v>
      </x:c>
      <x:c r="D14" s="76" t="n">
        <x:f>B14-C14</x:f>
        <x:v>0</x:v>
      </x:c>
      <x:c r="E14" s="29" t="str">
        <x:f>IF(ABS(D14)&lt;0.01,"PASS","FAIL")</x:f>
        <x:v>PASS</x:v>
      </x:c>
      <x:c r="F14" s="29" t="str">
        <x:v>Executive Summary</x:v>
      </x:c>
    </x:row>
    <x:row r="15">
      <x:c r="A15" s="29" t="str">
        <x:v>Scenario ordering — Y3</x:v>
      </x:c>
      <x:c r="B15" s="76" t="n">
        <x:f>MIN('Scenarios'!D6-'Scenarios'!D5,'Scenarios'!D7-'Scenarios'!D6,'Scenarios'!D8-'Scenarios'!D7)</x:f>
        <x:v>135376.20666000014</x:v>
      </x:c>
      <x:c r="C15" s="76" t="n">
        <x:v>0</x:v>
      </x:c>
      <x:c r="D15" s="76" t="n">
        <x:f>B15-C15</x:f>
        <x:v>135376.20666000014</x:v>
      </x:c>
      <x:c r="E15" s="29" t="str">
        <x:f>IF(D15&gt;0,"PASS","FAIL")</x:f>
        <x:v>PASS</x:v>
      </x:c>
      <x:c r="F15" s="29" t="str">
        <x:v>Scenarios</x:v>
      </x:c>
    </x:row>
    <x:row r="16">
      <x:c r="A16" s="29" t="str">
        <x:v>Commercial GA follows Beta</x:v>
      </x:c>
      <x:c r="B16" s="74" t="n">
        <x:f>'Assumptions'!B6</x:f>
        <x:v>46508</x:v>
      </x:c>
      <x:c r="C16" s="74" t="n">
        <x:f>EDATE('Assumptions'!B5,'Assumptions'!B7)</x:f>
        <x:v>46508</x:v>
      </x:c>
      <x:c r="D16" s="74" t="n">
        <x:f>B16-C16</x:f>
        <x:v>0</x:v>
      </x:c>
      <x:c r="E16" s="29" t="str">
        <x:f>IF(ABS(D16)&lt;1,"PASS","FAIL")</x:f>
        <x:v>PASS</x:v>
      </x:c>
      <x:c r="F16" s="29" t="str">
        <x:v>Assumptions</x:v>
      </x:c>
    </x:row>
    <x:row r="17" ht="24" customHeight="1">
      <x:c r="A17" s="21" t="str">
        <x:v>Marketing case keeps Base retention</x:v>
      </x:c>
      <x:c r="B17" s="60" t="n">
        <x:f>ABS('Scenarios'!F14-'Scenarios'!F12)+ABS('Scenarios'!G14-'Scenarios'!G12)+ABS('Scenarios'!H14-'Scenarios'!H12)</x:f>
        <x:v>0</x:v>
      </x:c>
      <x:c r="C17" s="60" t="n">
        <x:v>0</x:v>
      </x:c>
      <x:c r="D17" s="60" t="n">
        <x:f>B17-C17</x:f>
        <x:v>0</x:v>
      </x:c>
      <x:c r="E17" s="122" t="str">
        <x:f>IF(ABS(D17)&lt;0.0001,"PASS","FAIL")</x:f>
        <x:v>PASS</x:v>
      </x:c>
      <x:c r="F17" s="21" t="str">
        <x:v>Scenarios</x:v>
      </x:c>
    </x:row>
    <x:row r="18" ht="24" customHeight="1">
      <x:c r="A18" s="21" t="str">
        <x:v>Marketing budget high exceeds low</x:v>
      </x:c>
      <x:c r="B18" s="55" t="n">
        <x:f>MIN('GTM Plan'!C25-'GTM Plan'!B25,'GTM Plan'!C26-'GTM Plan'!B26,'GTM Plan'!C27-'GTM Plan'!B27)</x:f>
        <x:v>3000</x:v>
      </x:c>
      <x:c r="C18" s="55" t="n">
        <x:v>0</x:v>
      </x:c>
      <x:c r="D18" s="55" t="n">
        <x:f>B18-C18</x:f>
        <x:v>3000</x:v>
      </x:c>
      <x:c r="E18" s="122" t="str">
        <x:f>IF(D18&gt;0,"PASS","FAIL")</x:f>
        <x:v>PASS</x:v>
      </x:c>
      <x:c r="F18" s="21" t="str">
        <x:v>GTM Plan</x:v>
      </x:c>
    </x:row>
    <x:row r="19" ht="24" customHeight="1">
      <x:c r="A19" s="21" t="str">
        <x:v>Marketing case changes acquisition</x:v>
      </x:c>
      <x:c r="B19" s="60" t="n">
        <x:f>MIN('Scenarios'!C14-1,'Scenarios'!D14-1,'Scenarios'!E14-1)</x:f>
        <x:v>0.19999999999999996</x:v>
      </x:c>
      <x:c r="C19" s="60" t="n">
        <x:v>0</x:v>
      </x:c>
      <x:c r="D19" s="60" t="n">
        <x:f>B19-C19</x:f>
        <x:v>0.19999999999999996</x:v>
      </x:c>
      <x:c r="E19" s="122" t="str">
        <x:f>IF(D19&gt;0,"PASS","FAIL")</x:f>
        <x:v>PASS</x:v>
      </x:c>
      <x:c r="F19" s="21" t="str">
        <x:v>Scenarios</x:v>
      </x:c>
    </x:row>
  </x:sheetData>
  <x:mergeCells>
    <x:mergeCell ref="A1:F1"/>
    <x:mergeCell ref="A2:F2"/>
  </x:mergeCells>
  <x:conditionalFormatting sqref="E5:E16">
    <x:cfRule type="containsText" dxfId="0" priority="1" operator="containsText" text="PASS"/>
    <x:cfRule type="containsText" dxfId="1" priority="2" operator="containsText" text="FAIL"/>
  </x:conditionalFormatting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52" hidden="0" customWidth="1"/>
    <x:col min="3" max="3" width="20" hidden="0" customWidth="1"/>
    <x:col min="4" max="4" width="20" hidden="0" customWidth="1"/>
    <x:col min="5" max="5" width="20" hidden="0" customWidth="1"/>
    <x:col min="6" max="6" width="58" hidden="0" customWidth="1"/>
    <x:col min="7" max="7" width="20" hidden="0" customWidth="1"/>
    <x:col min="8" max="8" width="40" hidden="0" customWidth="1"/>
    <x:col min="9" max="9" width="40" hidden="0" customWidth="1"/>
  </x:cols>
  <x:sheetData>
    <x:row r="1" ht="28" customHeight="1">
      <x:c r="A1" s="19" t="str">
        <x:v>Sources and Evidence</x:v>
      </x:c>
      <x:c r="B1" s="19" t="str">
        <x:v>Sources and Benchmark Log</x:v>
      </x:c>
      <x:c r="C1" s="19" t="str">
        <x:v>Sources and Benchmark Log</x:v>
      </x:c>
      <x:c r="D1" s="19" t="str">
        <x:v>Sources and Benchmark Log</x:v>
      </x:c>
      <x:c r="E1" s="19" t="str">
        <x:v>Sources and Benchmark Log</x:v>
      </x:c>
      <x:c r="F1" s="19" t="str">
        <x:v>Sources and Benchmark Log</x:v>
      </x:c>
      <x:c r="G1" s="19" t="str">
        <x:v>Sources and Benchmark Log</x:v>
      </x:c>
      <x:c r="H1" s="19" t="str">
        <x:v>Sources and Benchmark Log</x:v>
      </x:c>
      <x:c r="I1" s="19" t="str">
        <x:v>Sources and Benchmark Log</x:v>
      </x:c>
    </x:row>
    <x:row r="2" ht="25" customHeight="1">
      <x:c r="A2" s="20" t="str">
        <x:v>External benchmarks, internal decisions, and validation status</x:v>
      </x:c>
      <x:c r="B2" s="20" t="str">
        <x:v>External benchmarks anchor retention, pricing and margins; management targets remain assumptions until observed.</x:v>
      </x:c>
      <x:c r="C2" s="20" t="str">
        <x:v>External benchmarks anchor retention, pricing and margins; management targets remain assumptions until observed.</x:v>
      </x:c>
      <x:c r="D2" s="20" t="str">
        <x:v>External benchmarks anchor retention, pricing and margins; management targets remain assumptions until observed.</x:v>
      </x:c>
      <x:c r="E2" s="20" t="str">
        <x:v>External benchmarks anchor retention, pricing and margins; management targets remain assumptions until observed.</x:v>
      </x:c>
      <x:c r="F2" s="20" t="str">
        <x:v>External benchmarks anchor retention, pricing and margins; management targets remain assumptions until observed.</x:v>
      </x:c>
      <x:c r="G2" s="20" t="str">
        <x:v>External benchmarks anchor retention, pricing and margins; management targets remain assumptions until observed.</x:v>
      </x:c>
      <x:c r="H2" s="20" t="str">
        <x:v>External benchmarks anchor retention, pricing and margins; management targets remain assumptions until observed.</x:v>
      </x:c>
      <x:c r="I2" s="20" t="str">
        <x:v>External benchmarks anchor retention, pricing and margins; management targets remain assumptions until observed.</x:v>
      </x:c>
    </x:row>
    <x:row r="3">
      <x:c r="A3" s="29"/>
      <x:c r="B3" s="29"/>
      <x:c r="C3" s="29"/>
      <x:c r="D3" s="29"/>
      <x:c r="E3" s="29"/>
      <x:c r="F3" s="29"/>
      <x:c r="G3" s="29"/>
      <x:c r="H3" s="29"/>
      <x:c r="I3" s="29"/>
    </x:row>
    <x:row r="4" ht="27" customHeight="1">
      <x:c r="A4" s="22" t="str">
        <x:v>Item</x:v>
      </x:c>
      <x:c r="B4" s="22" t="str">
        <x:v>Finding used</x:v>
      </x:c>
      <x:c r="C4" s="22" t="str">
        <x:v>As of</x:v>
      </x:c>
      <x:c r="D4" s="22" t="str">
        <x:v>Source type</x:v>
      </x:c>
      <x:c r="E4" s="22" t="str">
        <x:v>Source</x:v>
      </x:c>
      <x:c r="F4" s="22" t="str">
        <x:v>URL</x:v>
      </x:c>
      <x:c r="G4" s="22" t="str">
        <x:v>Applies to</x:v>
      </x:c>
      <x:c r="H4" s="22" t="str">
        <x:v>Model implication</x:v>
      </x:c>
      <x:c r="I4" s="22" t="str">
        <x:v>Caveat</x:v>
      </x:c>
    </x:row>
    <x:row r="5" ht="35" customHeight="1">
      <x:c r="A5" s="36" t="str">
        <x:v>Beta timeline and targets</x:v>
      </x:c>
      <x:c r="B5" s="36" t="str">
        <x:v>6 months; 12 then 30 individuals; 2 founding Team Pro workspaces</x:v>
      </x:c>
      <x:c r="C5" s="81" t="str">
        <x:v>2026-08-28</x:v>
      </x:c>
      <x:c r="D5" s="36" t="str">
        <x:v>Management input</x:v>
      </x:c>
      <x:c r="E5" s="36" t="str">
        <x:v>FoundifAI</x:v>
      </x:c>
      <x:c r="F5" s="36" t="str">
        <x:v>Internal management input</x:v>
      </x:c>
      <x:c r="G5" s="36" t="str">
        <x:v>Beta Plan</x:v>
      </x:c>
      <x:c r="H5" s="36" t="str">
        <x:v>Use explicit monthly Beta cohorts</x:v>
      </x:c>
      <x:c r="I5" s="36" t="str">
        <x:v>Targets are being closed, not signed results</x:v>
      </x:c>
    </x:row>
    <x:row r="6" ht="35" customHeight="1">
      <x:c r="A6" s="36" t="str">
        <x:v>Beta individual price</x:v>
      </x:c>
      <x:c r="B6" s="36" t="str">
        <x:v>$190 annual Pro</x:v>
      </x:c>
      <x:c r="C6" s="81" t="str">
        <x:v>2026-08-28</x:v>
      </x:c>
      <x:c r="D6" s="36" t="str">
        <x:v>Management decision</x:v>
      </x:c>
      <x:c r="E6" s="36" t="str">
        <x:v>FoundifAI</x:v>
      </x:c>
      <x:c r="F6" s="36" t="str">
        <x:v>Internal management input</x:v>
      </x:c>
      <x:c r="G6" s="36" t="str">
        <x:v>Beta individuals</x:v>
      </x:c>
      <x:c r="H6" s="36" t="str">
        <x:v>Annual bookings with monthly revenue recognition</x:v>
      </x:c>
      <x:c r="I6" s="36" t="str">
        <x:v>Price must be validated in paid contracts</x:v>
      </x:c>
    </x:row>
    <x:row r="7" ht="35" customHeight="1">
      <x:c r="A7" s="36" t="str">
        <x:v>Beta team price</x:v>
      </x:c>
      <x:c r="B7" s="36" t="str">
        <x:v>Founding Team Pro Beta: $240/seat/year; 3-seat minimum; 2 workspaces</x:v>
      </x:c>
      <x:c r="C7" s="81" t="str">
        <x:v>2026-08-29</x:v>
      </x:c>
      <x:c r="D7" s="36" t="str">
        <x:v>Management decision</x:v>
      </x:c>
      <x:c r="E7" s="36" t="str">
        <x:v>MIMAR underwriting</x:v>
      </x:c>
      <x:c r="F7" s="36" t="str">
        <x:v>Internal planning assumption</x:v>
      </x:c>
      <x:c r="G7" s="36" t="str">
        <x:v>Beta teams</x:v>
      </x:c>
      <x:c r="H7" s="36" t="str">
        <x:v>$720 minimum annual workspace booking</x:v>
      </x:c>
      <x:c r="I7" s="36" t="str">
        <x:v>Confirm signed Beta commitments</x:v>
      </x:c>
    </x:row>
    <x:row r="8" ht="35" customHeight="1">
      <x:c r="A8" s="36" t="str">
        <x:v>Low-ARPA retention</x:v>
      </x:c>
      <x:c r="B8" s="36" t="str">
        <x:v>Annual-billing customer retention ~62% below $25 ARPA</x:v>
      </x:c>
      <x:c r="C8" s="81" t="str">
        <x:v>2026-08-28</x:v>
      </x:c>
      <x:c r="D8" s="36" t="str">
        <x:v>Industry benchmark</x:v>
      </x:c>
      <x:c r="E8" s="36" t="str">
        <x:v>ChartMogul</x:v>
      </x:c>
      <x:c r="F8" s="36" t="str">
        <x:v>https://chartmogul.com/reports/saas-billing-report/</x:v>
      </x:c>
      <x:c r="G8" s="36" t="str">
        <x:v>Individuals</x:v>
      </x:c>
      <x:c r="H8" s="36" t="str">
        <x:v>Use 60% annual retention in base</x:v>
      </x:c>
      <x:c r="I8" s="36" t="str">
        <x:v>Dataset excludes some very early companies</x:v>
      </x:c>
    </x:row>
    <x:row r="9" ht="35" customHeight="1">
      <x:c r="A9" s="36" t="str">
        <x:v>Professional services margin</x:v>
      </x:c>
      <x:c r="B9" s="36" t="str">
        <x:v>Services gross margin median ~30%</x:v>
      </x:c>
      <x:c r="C9" s="81" t="str">
        <x:v>2026-08-28</x:v>
      </x:c>
      <x:c r="D9" s="36" t="str">
        <x:v>Industry benchmark</x:v>
      </x:c>
      <x:c r="E9" s="36" t="str">
        <x:v>Benchmarkit</x:v>
      </x:c>
      <x:c r="F9" s="36" t="str">
        <x:v>https://www.benchmarkit.ai/2025benchmarks</x:v>
      </x:c>
      <x:c r="G9" s="36" t="str">
        <x:v>Onboarding</x:v>
      </x:c>
      <x:c r="H9" s="36" t="str">
        <x:v>Model onboarding at 70% COGS</x:v>
      </x:c>
      <x:c r="I9" s="36" t="str">
        <x:v>Survey population is more mature</x:v>
      </x:c>
    </x:row>
    <x:row r="10" ht="35" customHeight="1">
      <x:c r="A10" s="36" t="str">
        <x:v>AI gross margin</x:v>
      </x:c>
      <x:c r="B10" s="36" t="str">
        <x:v>Selected AI shooting stars average ~60% gross margin</x:v>
      </x:c>
      <x:c r="C10" s="81" t="str">
        <x:v>2026-08-28</x:v>
      </x:c>
      <x:c r="D10" s="36" t="str">
        <x:v>Industry benchmark</x:v>
      </x:c>
      <x:c r="E10" s="36" t="str">
        <x:v>Bessemer Venture Partners</x:v>
      </x:c>
      <x:c r="F10" s="36" t="str">
        <x:v>https://www.bvp.com/atlas/the-state-of-ai-2025</x:v>
      </x:c>
      <x:c r="G10" s="36" t="str">
        <x:v>Core / Engage</x:v>
      </x:c>
      <x:c r="H10" s="36" t="str">
        <x:v>Avoid mature-SaaS margin in early years</x:v>
      </x:c>
      <x:c r="I10" s="36" t="str">
        <x:v>Selected high-performing cohort</x:v>
      </x:c>
    </x:row>
    <x:row r="11" ht="35" customHeight="1">
      <x:c r="A11" s="36" t="str">
        <x:v>ChatGPT Business pricing</x:v>
      </x:c>
      <x:c r="B11" s="36" t="str">
        <x:v>$20 annual / $25 monthly standard seat; 2-seat minimum</x:v>
      </x:c>
      <x:c r="C11" s="81" t="str">
        <x:v>2026-08-28</x:v>
      </x:c>
      <x:c r="D11" s="36" t="str">
        <x:v>Official pricing</x:v>
      </x:c>
      <x:c r="E11" s="36" t="str">
        <x:v>OpenAI</x:v>
      </x:c>
      <x:c r="F11" s="36" t="str">
        <x:v>https://openai.com/business/pricing/</x:v>
      </x:c>
      <x:c r="G11" s="36" t="str">
        <x:v>Team pricing</x:v>
      </x:c>
      <x:c r="H11" s="36" t="str">
        <x:v>Beta team price is directionally comparable</x:v>
      </x:c>
      <x:c r="I11" s="36" t="str">
        <x:v>Different product scope</x:v>
      </x:c>
    </x:row>
    <x:row r="12" ht="35" customHeight="1">
      <x:c r="A12" s="36" t="str">
        <x:v>Claude Team pricing</x:v>
      </x:c>
      <x:c r="B12" s="36" t="str">
        <x:v>$25 annual / $30 monthly; 5-seat minimum</x:v>
      </x:c>
      <x:c r="C12" s="81" t="str">
        <x:v>2026-08-28</x:v>
      </x:c>
      <x:c r="D12" s="36" t="str">
        <x:v>Official pricing</x:v>
      </x:c>
      <x:c r="E12" s="36" t="str">
        <x:v>Anthropic</x:v>
      </x:c>
      <x:c r="F12" s="36" t="str">
        <x:v>https://support.anthropic.com/en/articles/9267289-how-is-my-bill-calculated</x:v>
      </x:c>
      <x:c r="G12" s="36" t="str">
        <x:v>Team pricing</x:v>
      </x:c>
      <x:c r="H12" s="36" t="str">
        <x:v>Supports post-GA $25–$30 seat range</x:v>
      </x:c>
      <x:c r="I12" s="36" t="str">
        <x:v>Different product scope</x:v>
      </x:c>
    </x:row>
    <x:row r="13" ht="35" customHeight="1">
      <x:c r="A13" s="36" t="str">
        <x:v>B2B retention target</x:v>
      </x:c>
      <x:c r="B13" s="36" t="str">
        <x:v>90% annual logo retention</x:v>
      </x:c>
      <x:c r="C13" s="81" t="str">
        <x:v>2026-08-28</x:v>
      </x:c>
      <x:c r="D13" s="36" t="str">
        <x:v>Management assumption</x:v>
      </x:c>
      <x:c r="E13" s="36" t="str">
        <x:v>FoundifAI</x:v>
      </x:c>
      <x:c r="F13" s="36" t="str">
        <x:v>Internal underwriting decision</x:v>
      </x:c>
      <x:c r="G13" s="36" t="str">
        <x:v>Teams / Engage / Enterprise</x:v>
      </x:c>
      <x:c r="H13" s="36" t="str">
        <x:v>Applied cohort by cohort</x:v>
      </x:c>
      <x:c r="I13" s="36" t="str">
        <x:v>Replace with observed renewals</x:v>
      </x:c>
    </x:row>
    <x:row r="14" ht="42" customHeight="1">
      <x:c r="A14" s="123" t="str">
        <x:v>Trial conversion benchmark</x:v>
      </x:c>
      <x:c r="B14" s="123" t="str">
        <x:v>Median trial-to-paid around 8%; good AI / B2B ranges roughly 6–10%</x:v>
      </x:c>
      <x:c r="C14" s="123" t="str">
        <x:v>2026-08-28</x:v>
      </x:c>
      <x:c r="D14" s="123" t="str">
        <x:v>Industry benchmark</x:v>
      </x:c>
      <x:c r="E14" s="123" t="str">
        <x:v>ChartMogul</x:v>
      </x:c>
      <x:c r="F14" s="123" t="str">
        <x:v>https://chartmogul.com/reports/saas-conversion-report/</x:v>
      </x:c>
      <x:c r="G14" s="123" t="str">
        <x:v>GTM gates</x:v>
      </x:c>
      <x:c r="H14" s="123" t="str">
        <x:v>Use &gt;=5% activated trial-to-paid as a conservative scale gate</x:v>
      </x:c>
      <x:c r="I14" s="123" t="str">
        <x:v>Benchmark sample is not MIMAR cohort evidence</x:v>
      </x:c>
    </x:row>
    <x:row r="15" ht="42" customHeight="1">
      <x:c r="A15" s="123" t="str">
        <x:v>GTM sequencing</x:v>
      </x:c>
      <x:c r="B15" s="123" t="str">
        <x:v>Trial conversion concentrates early; PLG works best at low ASP with sales layered for larger contracts</x:v>
      </x:c>
      <x:c r="C15" s="123" t="str">
        <x:v>2026-08-28</x:v>
      </x:c>
      <x:c r="D15" s="123" t="str">
        <x:v>Industry benchmark</x:v>
      </x:c>
      <x:c r="E15" s="123" t="str">
        <x:v>ChartMogul</x:v>
      </x:c>
      <x:c r="F15" s="123" t="str">
        <x:v>https://chartmogul.com/reports/saas-go-to-market-report/</x:v>
      </x:c>
      <x:c r="G15" s="123" t="str">
        <x:v>Individuals + teams</x:v>
      </x:c>
      <x:c r="H15" s="123" t="str">
        <x:v>Combine PLG with founder-led sales</x:v>
      </x:c>
      <x:c r="I15" s="123" t="str">
        <x:v>Operational guidance, not guaranteed performance</x:v>
      </x:c>
    </x:row>
    <x:row r="16" ht="42" customHeight="1">
      <x:c r="A16" s="123" t="str">
        <x:v>CAC payback</x:v>
      </x:c>
      <x:c r="B16" s="123" t="str">
        <x:v>Common SaaS benchmark is about 12 months; model uses a stricter &lt;=9-month scale gate</x:v>
      </x:c>
      <x:c r="C16" s="123" t="str">
        <x:v>2026-08-28</x:v>
      </x:c>
      <x:c r="D16" s="123" t="str">
        <x:v>Industry benchmark</x:v>
      </x:c>
      <x:c r="E16" s="123" t="str">
        <x:v>Benchmarkit</x:v>
      </x:c>
      <x:c r="F16" s="123" t="str">
        <x:v>https://www.benchmarkit.ai/2025benchmarks</x:v>
      </x:c>
      <x:c r="G16" s="123" t="str">
        <x:v>Marketing budget</x:v>
      </x:c>
      <x:c r="H16" s="123" t="str">
        <x:v>Scale only channels that protect cash efficiency</x:v>
      </x:c>
      <x:c r="I16" s="123" t="str">
        <x:v>Survey population is more mature than MIMAR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32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34" customHeight="1">
      <x:c r="A1" s="126" t="str">
        <x:v>Go-to-Market Plan</x:v>
      </x:c>
      <x:c r="B1" s="126"/>
      <x:c r="C1" s="126"/>
      <x:c r="D1" s="126"/>
      <x:c r="E1" s="126"/>
      <x:c r="F1" s="126"/>
      <x:c r="G1" s="126"/>
      <x:c r="H1" s="126"/>
      <x:c r="I1" s="126"/>
      <x:c r="J1" s="126"/>
      <x:c r="K1" s="126"/>
      <x:c r="L1" s="126"/>
    </x:row>
    <x:row r="2" ht="26" customHeight="1">
      <x:c r="A2" s="127" t="str">
        <x:v>Acquisition targets, scale gates, budgets, and the revenue uplift they support</x:v>
      </x:c>
      <x:c r="B2" s="127"/>
      <x:c r="C2" s="127"/>
      <x:c r="D2" s="127"/>
      <x:c r="E2" s="127"/>
      <x:c r="F2" s="127"/>
      <x:c r="G2" s="127"/>
      <x:c r="H2" s="127"/>
      <x:c r="I2" s="127"/>
      <x:c r="J2" s="127"/>
      <x:c r="K2" s="127"/>
      <x:c r="L2" s="127"/>
    </x:row>
    <x:row r="4" ht="28" customHeight="1">
      <x:c r="A4" s="107" t="str">
        <x:v>Revenue case</x:v>
      </x:c>
      <x:c r="B4" s="107" t="str">
        <x:v>Y1</x:v>
      </x:c>
      <x:c r="C4" s="107" t="str">
        <x:v>Y2</x:v>
      </x:c>
      <x:c r="D4" s="107" t="str">
        <x:v>Y3</x:v>
      </x:c>
      <x:c r="I4" s="107" t="str">
        <x:v>Year</x:v>
      </x:c>
      <x:c r="J4" s="107" t="str">
        <x:v>Underwritten Base</x:v>
      </x:c>
      <x:c r="K4" s="107" t="str">
        <x:v>Marketing-backed</x:v>
      </x:c>
      <x:c r="L4" s="107" t="str">
        <x:v>Increment</x:v>
      </x:c>
    </x:row>
    <x:row r="5">
      <x:c r="A5" t="str">
        <x:v>Underwritten Base</x:v>
      </x:c>
      <x:c r="B5" s="49" t="n">
        <x:f>'Scenarios'!B6</x:f>
        <x:v>120239</x:v>
      </x:c>
      <x:c r="C5" s="49" t="n">
        <x:f>'Scenarios'!C6</x:f>
        <x:v>364763.1333333333</x:v>
      </x:c>
      <x:c r="D5" s="49" t="n">
        <x:f>'Scenarios'!D6</x:f>
        <x:v>943132.482</x:v>
      </x:c>
      <x:c r="I5" t="str">
        <x:v>Y1</x:v>
      </x:c>
      <x:c r="J5" s="49" t="n">
        <x:f>B5</x:f>
        <x:v>120239</x:v>
      </x:c>
      <x:c r="K5" s="49" t="n">
        <x:f>B6</x:f>
        <x:v>143010</x:v>
      </x:c>
      <x:c r="L5" s="49" t="n">
        <x:f>B7</x:f>
        <x:v>22771</x:v>
      </x:c>
    </x:row>
    <x:row r="6">
      <x:c r="A6" s="110" t="str">
        <x:v>Marketing-backed</x:v>
      </x:c>
      <x:c r="B6" s="111" t="n">
        <x:f>'Scenarios'!B7</x:f>
        <x:v>143010</x:v>
      </x:c>
      <x:c r="C6" s="111" t="n">
        <x:f>'Scenarios'!C7</x:f>
        <x:v>448343.51666666666</x:v>
      </x:c>
      <x:c r="D6" s="111" t="n">
        <x:f>'Scenarios'!D7</x:f>
        <x:v>1197961.9614</x:v>
      </x:c>
      <x:c r="I6" t="str">
        <x:v>Y2</x:v>
      </x:c>
      <x:c r="J6" s="49" t="n">
        <x:f>C5</x:f>
        <x:v>364763.1333333333</x:v>
      </x:c>
      <x:c r="K6" s="49" t="n">
        <x:f>C6</x:f>
        <x:v>448343.51666666666</x:v>
      </x:c>
      <x:c r="L6" s="49" t="n">
        <x:f>C7</x:f>
        <x:v>83580.38333333336</x:v>
      </x:c>
    </x:row>
    <x:row r="7">
      <x:c r="A7" t="str">
        <x:v>Increment vs Base</x:v>
      </x:c>
      <x:c r="B7" s="49" t="n">
        <x:f>B6-B5</x:f>
        <x:v>22771</x:v>
      </x:c>
      <x:c r="C7" s="49" t="n">
        <x:f>C6-C5</x:f>
        <x:v>83580.38333333336</x:v>
      </x:c>
      <x:c r="D7" s="49" t="n">
        <x:f>D6-D5</x:f>
        <x:v>254829.47939999995</x:v>
      </x:c>
      <x:c r="I7" t="str">
        <x:v>Y3</x:v>
      </x:c>
      <x:c r="J7" s="49" t="n">
        <x:f>D5</x:f>
        <x:v>943132.482</x:v>
      </x:c>
      <x:c r="K7" s="49" t="n">
        <x:f>D6</x:f>
        <x:v>1197961.9614</x:v>
      </x:c>
      <x:c r="L7" s="49" t="n">
        <x:f>D7</x:f>
        <x:v>254829.47939999995</x:v>
      </x:c>
    </x:row>
    <x:row r="10" ht="28" customHeight="1">
      <x:c r="A10" s="107" t="str">
        <x:v>Gross-new acquisition</x:v>
      </x:c>
      <x:c r="B10" s="107" t="str">
        <x:v>Base Y1</x:v>
      </x:c>
      <x:c r="C10" s="107" t="str">
        <x:v>Plan Y1</x:v>
      </x:c>
      <x:c r="D10" s="107" t="str">
        <x:v>Base Y2</x:v>
      </x:c>
      <x:c r="E10" s="107" t="str">
        <x:v>Plan Y2</x:v>
      </x:c>
      <x:c r="F10" s="107" t="str">
        <x:v>Base Y3</x:v>
      </x:c>
      <x:c r="G10" s="107" t="str">
        <x:v>Plan Y3</x:v>
      </x:c>
      <x:c r="H10" s="107" t="str">
        <x:v>Primary route</x:v>
      </x:c>
    </x:row>
    <x:row r="11">
      <x:c r="A11" t="str">
        <x:v>Individuals</x:v>
      </x:c>
      <x:c r="B11" s="112" t="n">
        <x:f>'Assumptions'!B20</x:f>
        <x:v>100</x:v>
      </x:c>
      <x:c r="C11" s="113" t="n">
        <x:f>B11*'Scenarios'!C14</x:f>
        <x:v>120</x:v>
      </x:c>
      <x:c r="D11" s="112" t="n">
        <x:f>'Assumptions'!C20</x:f>
        <x:v>250</x:v>
      </x:c>
      <x:c r="E11" s="113" t="n">
        <x:f>D11*'Scenarios'!D14</x:f>
        <x:v>312.5</x:v>
      </x:c>
      <x:c r="F11" s="112" t="n">
        <x:f>'Assumptions'!D20</x:f>
        <x:v>500</x:v>
      </x:c>
      <x:c r="G11" s="113" t="n">
        <x:f>F11*'Scenarios'!E14</x:f>
        <x:v>650</x:v>
      </x:c>
      <x:c r="H11" t="str">
        <x:v>PLG + proof content</x:v>
      </x:c>
    </x:row>
    <x:row r="12">
      <x:c r="A12" t="str">
        <x:v>Core team workspaces</x:v>
      </x:c>
      <x:c r="B12" s="112" t="n">
        <x:f>'Assumptions'!B23</x:f>
        <x:v>20</x:v>
      </x:c>
      <x:c r="C12" s="113" t="n">
        <x:f>B12*'Scenarios'!C14</x:f>
        <x:v>24</x:v>
      </x:c>
      <x:c r="D12" s="112" t="n">
        <x:f>'Assumptions'!C23</x:f>
        <x:v>30</x:v>
      </x:c>
      <x:c r="E12" s="113" t="n">
        <x:f>D12*'Scenarios'!D14</x:f>
        <x:v>37.5</x:v>
      </x:c>
      <x:c r="F12" s="112" t="n">
        <x:f>'Assumptions'!D23</x:f>
        <x:v>60</x:v>
      </x:c>
      <x:c r="G12" s="113" t="n">
        <x:f>F12*'Scenarios'!E14</x:f>
        <x:v>78</x:v>
      </x:c>
      <x:c r="H12" t="str">
        <x:v>Founder-led pilots + referrals</x:v>
      </x:c>
    </x:row>
    <x:row r="13">
      <x:c r="A13" t="str">
        <x:v>Core metered usage accounts</x:v>
      </x:c>
      <x:c r="B13" s="112" t="n">
        <x:f>'Assumptions'!B29</x:f>
        <x:v>20</x:v>
      </x:c>
      <x:c r="C13" s="113" t="n">
        <x:f>B13*'Scenarios'!C14</x:f>
        <x:v>24</x:v>
      </x:c>
      <x:c r="D13" s="112" t="n">
        <x:f>'Assumptions'!C29</x:f>
        <x:v>50</x:v>
      </x:c>
      <x:c r="E13" s="113" t="n">
        <x:f>D13*'Scenarios'!D14</x:f>
        <x:v>62.5</x:v>
      </x:c>
      <x:c r="F13" s="112" t="n">
        <x:f>'Assumptions'!D29</x:f>
        <x:v>120</x:v>
      </x:c>
      <x:c r="G13" s="113" t="n">
        <x:f>F13*'Scenarios'!E14</x:f>
        <x:v>156</x:v>
      </x:c>
      <x:c r="H13" t="str">
        <x:v>Developer docs + templates</x:v>
      </x:c>
    </x:row>
    <x:row r="14">
      <x:c r="A14" t="str">
        <x:v>Engage workspaces</x:v>
      </x:c>
      <x:c r="B14" s="112" t="n">
        <x:f>SUM('Assumptions'!B37,'Assumptions'!B39,'Assumptions'!B41,'Assumptions'!B43)</x:f>
        <x:v>30</x:v>
      </x:c>
      <x:c r="C14" s="113" t="n">
        <x:f>B14*'Scenarios'!C14</x:f>
        <x:v>36</x:v>
      </x:c>
      <x:c r="D14" s="112" t="n">
        <x:f>SUM('Assumptions'!C37,'Assumptions'!C39,'Assumptions'!C41,'Assumptions'!C43)</x:f>
        <x:v>51</x:v>
      </x:c>
      <x:c r="E14" s="113" t="n">
        <x:f>D14*'Scenarios'!D14</x:f>
        <x:v>63.75</x:v>
      </x:c>
      <x:c r="F14" s="112" t="n">
        <x:f>SUM('Assumptions'!D37,'Assumptions'!D39,'Assumptions'!D41,'Assumptions'!D43)</x:f>
        <x:v>104</x:v>
      </x:c>
      <x:c r="G14" s="113" t="n">
        <x:f>F14*'Scenarios'!E14</x:f>
        <x:v>135.20000000000002</x:v>
      </x:c>
      <x:c r="H14" t="str">
        <x:v>Vertical workflow campaigns</x:v>
      </x:c>
    </x:row>
    <x:row r="17" ht="28" customHeight="1">
      <x:c r="A17" s="107" t="str">
        <x:v>Scale gate</x:v>
      </x:c>
      <x:c r="B17" s="107" t="str">
        <x:v>Threshold</x:v>
      </x:c>
      <x:c r="C17" s="107" t="str">
        <x:v>Why it matters</x:v>
      </x:c>
      <x:c r="D17" s="107" t="str">
        <x:v>If it passes</x:v>
      </x:c>
      <x:c r="E17" s="107" t="str">
        <x:v>If it misses</x:v>
      </x:c>
      <x:c r="F17" s="107" t="str">
        <x:v>Evidence window</x:v>
      </x:c>
      <x:c r="G17" s="107" t="str">
        <x:v>Owner</x:v>
      </x:c>
    </x:row>
    <x:row r="18" ht="44" customHeight="1">
      <x:c r="A18" s="130" t="str">
        <x:v>Activated trial → paid</x:v>
      </x:c>
      <x:c r="B18" s="131" t="str">
        <x:v>&gt;= 5%</x:v>
      </x:c>
      <x:c r="C18" s="130" t="str">
        <x:v>Proves self-serve demand</x:v>
      </x:c>
      <x:c r="D18" s="130" t="str">
        <x:v>Increase qualified traffic</x:v>
      </x:c>
      <x:c r="E18" s="130" t="str">
        <x:v>Fix activation/onboarding</x:v>
      </x:c>
      <x:c r="F18" s="130" t="str">
        <x:v>3 monthly cohorts</x:v>
      </x:c>
      <x:c r="G18" s="130" t="str">
        <x:v>Growth + Product</x:v>
      </x:c>
    </x:row>
    <x:row r="19" ht="44" customHeight="1">
      <x:c r="A19" s="130" t="str">
        <x:v>Team pilot → paid</x:v>
      </x:c>
      <x:c r="B19" s="131" t="str">
        <x:v>&gt;= 20%</x:v>
      </x:c>
      <x:c r="C19" s="130" t="str">
        <x:v>Validates founder-led sales</x:v>
      </x:c>
      <x:c r="D19" s="130" t="str">
        <x:v>Expand target-account list</x:v>
      </x:c>
      <x:c r="E19" s="130" t="str">
        <x:v>Narrow ICP and workflow</x:v>
      </x:c>
      <x:c r="F19" s="130" t="str">
        <x:v>10+ completed pilots</x:v>
      </x:c>
      <x:c r="G19" s="130" t="str">
        <x:v>Founder</x:v>
      </x:c>
    </x:row>
    <x:row r="20" ht="44" customHeight="1">
      <x:c r="A20" s="130" t="str">
        <x:v>90-day team retention</x:v>
      </x:c>
      <x:c r="B20" s="131" t="str">
        <x:v>&gt;= 85%</x:v>
      </x:c>
      <x:c r="C20" s="130" t="str">
        <x:v>Protects the 90% annual target</x:v>
      </x:c>
      <x:c r="D20" s="130" t="str">
        <x:v>Add referral motion</x:v>
      </x:c>
      <x:c r="E20" s="130" t="str">
        <x:v>Pause acquisition scaling</x:v>
      </x:c>
      <x:c r="F20" s="130" t="str">
        <x:v>10+ paid teams</x:v>
      </x:c>
      <x:c r="G20" s="130" t="str">
        <x:v>Product + CS</x:v>
      </x:c>
    </x:row>
    <x:row r="21" ht="44" customHeight="1">
      <x:c r="A21" s="130" t="str">
        <x:v>CAC payback</x:v>
      </x:c>
      <x:c r="B21" s="131" t="str">
        <x:v>&lt;= 9 months</x:v>
      </x:c>
      <x:c r="C21" s="130" t="str">
        <x:v>Protects cash efficiency</x:v>
      </x:c>
      <x:c r="D21" s="130" t="str">
        <x:v>Scale winning channels</x:v>
      </x:c>
      <x:c r="E21" s="130" t="str">
        <x:v>Cut channel or raise conversion</x:v>
      </x:c>
      <x:c r="F21" s="130" t="str">
        <x:v>Two paid quarters</x:v>
      </x:c>
      <x:c r="G21" s="130" t="str">
        <x:v>Finance + Growth</x:v>
      </x:c>
    </x:row>
    <x:row r="24" ht="28" customHeight="1">
      <x:c r="A24" s="107" t="str">
        <x:v>Commercial year</x:v>
      </x:c>
      <x:c r="B24" s="107" t="str">
        <x:v>Budget low</x:v>
      </x:c>
      <x:c r="C24" s="107" t="str">
        <x:v>Budget high</x:v>
      </x:c>
      <x:c r="D24" s="107" t="str">
        <x:v>Primary objective</x:v>
      </x:c>
      <x:c r="E24" s="107" t="str">
        <x:v>Content / proof</x:v>
      </x:c>
      <x:c r="F24" s="107" t="str">
        <x:v>Founder-led sales</x:v>
      </x:c>
      <x:c r="G24" s="107" t="str">
        <x:v>Paid channel posture</x:v>
      </x:c>
    </x:row>
    <x:row r="25" ht="46" customHeight="1">
      <x:c r="A25" s="130" t="str">
        <x:v>Y1</x:v>
      </x:c>
      <x:c r="B25" s="132" t="n">
        <x:v>12000</x:v>
      </x:c>
      <x:c r="C25" s="132" t="n">
        <x:v>15000</x:v>
      </x:c>
      <x:c r="D25" s="130" t="str">
        <x:v>Validate repeatable acquisition</x:v>
      </x:c>
      <x:c r="E25" s="130" t="str">
        <x:v>2 case studies + weekly proof</x:v>
      </x:c>
      <x:c r="F25" s="130" t="str">
        <x:v>Core teams + design partners</x:v>
      </x:c>
      <x:c r="G25" s="130" t="str">
        <x:v>Small tests only</x:v>
      </x:c>
    </x:row>
    <x:row r="26" ht="46" customHeight="1">
      <x:c r="A26" s="130" t="str">
        <x:v>Y2</x:v>
      </x:c>
      <x:c r="B26" s="132" t="n">
        <x:v>30000</x:v>
      </x:c>
      <x:c r="C26" s="132" t="n">
        <x:v>40000</x:v>
      </x:c>
      <x:c r="D26" s="130" t="str">
        <x:v>Scale channels that pass gates</x:v>
      </x:c>
      <x:c r="E26" s="130" t="str">
        <x:v>Vertical playbooks</x:v>
      </x:c>
      <x:c r="F26" s="130" t="str">
        <x:v>Teams + early enterprise</x:v>
      </x:c>
      <x:c r="G26" s="130" t="str">
        <x:v>Scale proven campaigns</x:v>
      </x:c>
    </x:row>
    <x:row r="27" ht="46" customHeight="1">
      <x:c r="A27" s="130" t="str">
        <x:v>Y3</x:v>
      </x:c>
      <x:c r="B27" s="132" t="n">
        <x:v>70000</x:v>
      </x:c>
      <x:c r="C27" s="132" t="n">
        <x:v>90000</x:v>
      </x:c>
      <x:c r="D27" s="130" t="str">
        <x:v>Compound product-suite distribution</x:v>
      </x:c>
      <x:c r="E27" s="130" t="str">
        <x:v>Category + partner proof</x:v>
      </x:c>
      <x:c r="F27" s="130" t="str">
        <x:v>Enterprise and expansion</x:v>
      </x:c>
      <x:c r="G27" s="130" t="str">
        <x:v>Product-suite efficiency</x:v>
      </x:c>
    </x:row>
    <x:row r="30" ht="2" customHeight="1">
      <x:c r="A30" s="232" t="str">
        <x:v>Phase</x:v>
      </x:c>
      <x:c r="B30" s="233" t="str">
        <x:v>Timing</x:v>
      </x:c>
      <x:c r="C30" s="233" t="str">
        <x:v>Goal</x:v>
      </x:c>
      <x:c r="D30" s="233" t="str">
        <x:v>Individuals</x:v>
      </x:c>
      <x:c r="E30" s="233" t="str">
        <x:v>Teams</x:v>
      </x:c>
      <x:c r="F30" s="233" t="str">
        <x:v>Engage</x:v>
      </x:c>
      <x:c r="G30" s="233" t="str">
        <x:v>Evidence produced</x:v>
      </x:c>
      <x:c r="H30" s="234"/>
      <x:c r="I30" s="234"/>
      <x:c r="J30" s="234"/>
      <x:c r="K30" s="234"/>
      <x:c r="L30" s="235"/>
    </x:row>
    <x:row r="31" ht="2" customHeight="1">
      <x:c r="A31" s="236" t="str">
        <x:v>Close Beta</x:v>
      </x:c>
      <x:c r="B31" s="237" t="str">
        <x:v>Now → access release</x:v>
      </x:c>
      <x:c r="C31" s="237" t="str">
        <x:v>Sign the starting cohort</x:v>
      </x:c>
      <x:c r="D31" s="237" t="str">
        <x:v>12</x:v>
      </x:c>
      <x:c r="E31" s="237" t="str">
        <x:v>2</x:v>
      </x:c>
      <x:c r="F31" s="237" t="str">
        <x:v>Design partners</x:v>
      </x:c>
      <x:c r="G31" s="237" t="str">
        <x:v>Signed commitments + ICP notes</x:v>
      </x:c>
      <x:c r="H31" s="238"/>
      <x:c r="I31" s="238"/>
      <x:c r="J31" s="238"/>
      <x:c r="K31" s="238"/>
      <x:c r="L31" s="239"/>
    </x:row>
    <x:row r="32" ht="2" customHeight="1">
      <x:c r="A32" s="236" t="str">
        <x:v>Build + validate</x:v>
      </x:c>
      <x:c r="B32" s="237" t="str">
        <x:v>Beta months 1–4</x:v>
      </x:c>
      <x:c r="C32" s="237" t="str">
        <x:v>Prove recurring workflow value</x:v>
      </x:c>
      <x:c r="D32" s="237" t="str">
        <x:v>12 active</x:v>
      </x:c>
      <x:c r="E32" s="237" t="str">
        <x:v>2 active</x:v>
      </x:c>
      <x:c r="F32" s="237" t="str">
        <x:v>Workflow interviews</x:v>
      </x:c>
      <x:c r="G32" s="237" t="str">
        <x:v>Activation, usage, pilot feedback</x:v>
      </x:c>
      <x:c r="H32" s="238"/>
      <x:c r="I32" s="238"/>
      <x:c r="J32" s="238"/>
      <x:c r="K32" s="238"/>
      <x:c r="L32" s="239"/>
    </x:row>
    <x:row r="33" ht="2" customHeight="1">
      <x:c r="A33" s="236" t="str">
        <x:v>Expand Beta</x:v>
      </x:c>
      <x:c r="B33" s="237" t="str">
        <x:v>Beta months 5–6</x:v>
      </x:c>
      <x:c r="C33" s="237" t="str">
        <x:v>Test referrals and repeatability</x:v>
      </x:c>
      <x:c r="D33" s="237" t="str">
        <x:v>30 active</x:v>
      </x:c>
      <x:c r="E33" s="237" t="str">
        <x:v>2 active</x:v>
      </x:c>
      <x:c r="F33" s="237" t="str">
        <x:v>First vertical shortlist</x:v>
      </x:c>
      <x:c r="G33" s="237" t="str">
        <x:v>Individual expansion, Team Pro workflow adoption, pilot feedback</x:v>
      </x:c>
      <x:c r="H33" s="238"/>
      <x:c r="I33" s="238"/>
      <x:c r="J33" s="238"/>
      <x:c r="K33" s="238"/>
      <x:c r="L33" s="239"/>
    </x:row>
    <x:row r="34" ht="2" customHeight="1">
      <x:c r="A34" s="240" t="str">
        <x:v>Commercial scale</x:v>
      </x:c>
      <x:c r="B34" s="241" t="str">
        <x:v>From May 2027</x:v>
      </x:c>
      <x:c r="C34" s="241" t="str">
        <x:v>Acquire only behind gates</x:v>
      </x:c>
      <x:c r="D34" s="241" t="str">
        <x:v>120 Y1 new</x:v>
      </x:c>
      <x:c r="E34" s="241" t="str">
        <x:v>24 Y1 new</x:v>
      </x:c>
      <x:c r="F34" s="241" t="str">
        <x:v>36 Y1 new</x:v>
      </x:c>
      <x:c r="G34" s="241" t="str">
        <x:v>Conversion, retention, CAC payback</x:v>
      </x:c>
      <x:c r="H34" s="242"/>
      <x:c r="I34" s="242"/>
      <x:c r="J34" s="242"/>
      <x:c r="K34" s="242"/>
      <x:c r="L34" s="243"/>
    </x:row>
  </x:sheetData>
  <x:mergeCells>
    <x:mergeCell ref="A1:L1"/>
    <x:mergeCell ref="A2:L2"/>
  </x:mergeCells>
  <x:pageMargins left="0.7" right="0.7" top="0.75" bottom="0.75" header="0.3" footer="0.3"/>
  <x:drawing xmlns:r="http://schemas.openxmlformats.org/officeDocument/2006/relationships" r:id="Rfe8729dc5b6644f6"/>
</x:worksheet>
</file>